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2120" windowHeight="6675" activeTab="0"/>
  </bookViews>
  <sheets>
    <sheet name="Voorpagina" sheetId="1" r:id="rId1"/>
    <sheet name="Log pagina" sheetId="2" r:id="rId2"/>
  </sheets>
  <definedNames>
    <definedName name="_xlnm.Print_Area" localSheetId="1">'Log pagina'!$A$3:$O$36</definedName>
    <definedName name="_xlnm.Print_Area" localSheetId="0">'Voorpagina'!$A$1:$L$35</definedName>
  </definedNames>
  <calcPr fullCalcOnLoad="1"/>
</workbook>
</file>

<file path=xl/sharedStrings.xml><?xml version="1.0" encoding="utf-8"?>
<sst xmlns="http://schemas.openxmlformats.org/spreadsheetml/2006/main" count="267" uniqueCount="175">
  <si>
    <t>Locator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</si>
  <si>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</si>
  <si>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</si>
  <si>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</si>
  <si>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</si>
  <si>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</si>
  <si>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</si>
  <si>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</si>
  <si>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</si>
  <si>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</si>
  <si>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</si>
  <si>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</si>
  <si>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</si>
  <si>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</si>
  <si>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</si>
  <si>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</si>
  <si>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</si>
  <si>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</si>
  <si>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</si>
  <si>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</si>
  <si>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</si>
  <si>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Sheet Total</t>
  </si>
  <si>
    <t>Longitude</t>
  </si>
  <si>
    <t>Latitude</t>
  </si>
  <si>
    <t>A</t>
  </si>
  <si>
    <t>B</t>
  </si>
  <si>
    <t>L</t>
  </si>
  <si>
    <t>E</t>
  </si>
  <si>
    <t>D</t>
  </si>
  <si>
    <t>Dcond</t>
  </si>
  <si>
    <t>F1cond</t>
  </si>
  <si>
    <t>F2cond</t>
  </si>
  <si>
    <t>F3cond</t>
  </si>
  <si>
    <t>R</t>
  </si>
  <si>
    <t>Rint   km</t>
  </si>
  <si>
    <t>Local Lat</t>
  </si>
  <si>
    <t>Dist Lat</t>
  </si>
  <si>
    <t>Diff Long</t>
  </si>
  <si>
    <t>Path Rad</t>
  </si>
  <si>
    <t>Bearing</t>
  </si>
  <si>
    <t>Deg/Rad :</t>
  </si>
  <si>
    <t xml:space="preserve">         Report    /     Serial</t>
  </si>
  <si>
    <t xml:space="preserve"> Locator</t>
  </si>
  <si>
    <t xml:space="preserve">     KM</t>
  </si>
  <si>
    <t>Manager</t>
  </si>
  <si>
    <t>Contest</t>
  </si>
  <si>
    <t xml:space="preserve">     Band:</t>
  </si>
  <si>
    <t xml:space="preserve">    Cm</t>
  </si>
  <si>
    <t>Back</t>
  </si>
  <si>
    <t>Band</t>
  </si>
  <si>
    <t xml:space="preserve"> Cm</t>
  </si>
  <si>
    <t>Station:    Tx</t>
  </si>
  <si>
    <t>m</t>
  </si>
  <si>
    <t xml:space="preserve">    ASL</t>
  </si>
  <si>
    <r>
      <t xml:space="preserve">    </t>
    </r>
    <r>
      <rPr>
        <b/>
        <sz val="14"/>
        <rFont val="Arial"/>
        <family val="2"/>
      </rPr>
      <t xml:space="preserve">  Rx</t>
    </r>
  </si>
  <si>
    <t>w</t>
  </si>
  <si>
    <t>Output Power</t>
  </si>
  <si>
    <t>ERP</t>
  </si>
  <si>
    <t>Name &amp; Call Sign</t>
  </si>
  <si>
    <t xml:space="preserve">   E-mail</t>
  </si>
  <si>
    <t>Post code</t>
  </si>
  <si>
    <t>Multiplier</t>
  </si>
  <si>
    <t>UTC</t>
  </si>
  <si>
    <t>021</t>
  </si>
  <si>
    <t>JO20MW</t>
  </si>
  <si>
    <t>Contest Naam:</t>
  </si>
  <si>
    <t>Gebruikte nr:</t>
  </si>
  <si>
    <t xml:space="preserve">     Call :</t>
  </si>
  <si>
    <t>Locator :</t>
  </si>
  <si>
    <t>Contest Log Pagina.</t>
  </si>
  <si>
    <t xml:space="preserve">     van</t>
  </si>
  <si>
    <t xml:space="preserve"> Datum</t>
  </si>
  <si>
    <t xml:space="preserve"> Tijd</t>
  </si>
  <si>
    <t xml:space="preserve">     Stations</t>
  </si>
  <si>
    <t>Gewerkt</t>
  </si>
  <si>
    <t>Nummers</t>
  </si>
  <si>
    <t>Ontvang.</t>
  </si>
  <si>
    <t>Afstand</t>
  </si>
  <si>
    <t xml:space="preserve"> Punten</t>
  </si>
  <si>
    <t xml:space="preserve">    Rx</t>
  </si>
  <si>
    <t>Tx</t>
  </si>
  <si>
    <t>QTH Station</t>
  </si>
  <si>
    <t>Nummer</t>
  </si>
  <si>
    <t xml:space="preserve"> Score voor deze band</t>
  </si>
  <si>
    <t>Antenne</t>
  </si>
  <si>
    <t>Naam en adres 1ste operator</t>
  </si>
  <si>
    <t xml:space="preserve">           Contest Naam:</t>
  </si>
  <si>
    <r>
      <t xml:space="preserve">      </t>
    </r>
    <r>
      <rPr>
        <b/>
        <sz val="14"/>
        <rFont val="Arial"/>
        <family val="2"/>
      </rPr>
      <t>Naam</t>
    </r>
  </si>
  <si>
    <t>Roepletters</t>
  </si>
  <si>
    <t>Gebr. roepletters</t>
  </si>
  <si>
    <t>Adres</t>
  </si>
  <si>
    <t>Andere operators</t>
  </si>
  <si>
    <t>Verklaring</t>
  </si>
  <si>
    <t>Datum</t>
  </si>
  <si>
    <t>Handtekening</t>
  </si>
  <si>
    <t>1ste operator</t>
  </si>
  <si>
    <t>Ik verklaar hierbij dat bovenstaand station in regel was met de richtlijnen van de contest.</t>
  </si>
  <si>
    <t>Positie</t>
  </si>
  <si>
    <t>Eigen</t>
  </si>
  <si>
    <t>Tegenstation</t>
  </si>
  <si>
    <t>ATV CONTEST LOG</t>
  </si>
  <si>
    <t>Opmerking</t>
  </si>
  <si>
    <t>ON7RD</t>
  </si>
  <si>
    <t>JO11NB</t>
  </si>
  <si>
    <t>Danny, Torhout</t>
  </si>
  <si>
    <t>JO20BN</t>
  </si>
  <si>
    <t>JO10UU</t>
  </si>
  <si>
    <t>ON4KBF</t>
  </si>
  <si>
    <t>JO11VM</t>
  </si>
  <si>
    <t>PE1AXM</t>
  </si>
  <si>
    <t>Jan</t>
  </si>
  <si>
    <t>JO10WX</t>
  </si>
  <si>
    <t>ON4VVV</t>
  </si>
  <si>
    <t>Frans, Wetteren</t>
  </si>
  <si>
    <t>ON1ARQ</t>
  </si>
  <si>
    <t>JO10VX</t>
  </si>
  <si>
    <t>ON7BPS /P</t>
  </si>
  <si>
    <t>0802</t>
  </si>
  <si>
    <t>JO20HN</t>
  </si>
  <si>
    <t>ON4HRT/P</t>
  </si>
  <si>
    <t>JO10mQ</t>
  </si>
  <si>
    <t>MICHEL</t>
  </si>
  <si>
    <t>JO20CU</t>
  </si>
  <si>
    <t>ON4FIN</t>
  </si>
  <si>
    <t>Arthur</t>
  </si>
  <si>
    <t>JO21GD</t>
  </si>
  <si>
    <t>ON6UA</t>
  </si>
  <si>
    <t>STAF</t>
  </si>
  <si>
    <t>F1BM</t>
  </si>
  <si>
    <t>JO21EE</t>
  </si>
  <si>
    <t>ON4CDF</t>
  </si>
  <si>
    <t>JO10vr</t>
  </si>
  <si>
    <t>ON4ATV</t>
  </si>
  <si>
    <t>Erik</t>
  </si>
  <si>
    <t>-</t>
  </si>
  <si>
    <t>Peter</t>
  </si>
  <si>
    <t>ON5KTO</t>
  </si>
  <si>
    <t>JO21OE</t>
  </si>
  <si>
    <t>Wim</t>
  </si>
  <si>
    <t>PA1PS</t>
  </si>
  <si>
    <t>JO22UA</t>
  </si>
  <si>
    <t>JO22VA</t>
  </si>
  <si>
    <t>PA1DYK</t>
  </si>
  <si>
    <t>Roel</t>
  </si>
  <si>
    <t>JO21AA</t>
  </si>
  <si>
    <t>ON4APP</t>
  </si>
  <si>
    <t>Patrick</t>
  </si>
  <si>
    <t>ON7WE</t>
  </si>
  <si>
    <t>Stefaan</t>
  </si>
  <si>
    <t>JO20AV</t>
  </si>
  <si>
    <t>ON4RT</t>
  </si>
  <si>
    <t>JO10VU</t>
  </si>
  <si>
    <t>Willy</t>
  </si>
  <si>
    <t>jo20BO</t>
  </si>
  <si>
    <t>ON4KEN</t>
  </si>
  <si>
    <t>B    5</t>
  </si>
  <si>
    <t>ON6EE</t>
  </si>
  <si>
    <t>ON4BBF</t>
  </si>
  <si>
    <t>jo11VA</t>
  </si>
  <si>
    <t>on4sh /p</t>
  </si>
  <si>
    <t>atv contest juni 2004</t>
  </si>
  <si>
    <t>Luc</t>
  </si>
  <si>
    <t>Etien</t>
  </si>
  <si>
    <t>jo10uu</t>
  </si>
  <si>
    <t>rse preamp + strong sat receiver</t>
  </si>
  <si>
    <t>ON4SH</t>
  </si>
  <si>
    <t>on4sh@on4sh.be</t>
  </si>
  <si>
    <t>Olmenlei 1</t>
  </si>
  <si>
    <t>Schoten</t>
  </si>
  <si>
    <t>Bart Verrept on7bv</t>
  </si>
  <si>
    <t>Alex verhoeven on5nv</t>
  </si>
  <si>
    <t>on7iz exiter +500mW amp + 35W power amp</t>
  </si>
  <si>
    <t>35 elm tonna 20dBi</t>
  </si>
  <si>
    <t>jo20av</t>
  </si>
  <si>
    <t>Brakel    Gentsesteenweg</t>
  </si>
</sst>
</file>

<file path=xl/styles.xml><?xml version="1.0" encoding="utf-8"?>
<styleSheet xmlns="http://schemas.openxmlformats.org/spreadsheetml/2006/main">
  <numFmts count="33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mmm\-yyyy"/>
  </numFmts>
  <fonts count="13">
    <font>
      <sz val="10"/>
      <name val="Arial"/>
      <family val="0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7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7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>
      <alignment/>
    </xf>
    <xf numFmtId="0" fontId="2" fillId="0" borderId="7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7" fillId="0" borderId="10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6" fontId="2" fillId="0" borderId="11" xfId="0" applyNumberFormat="1" applyFont="1" applyBorder="1" applyAlignment="1" applyProtection="1">
      <alignment horizontal="center"/>
      <protection locked="0"/>
    </xf>
    <xf numFmtId="20" fontId="2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1" fontId="2" fillId="0" borderId="12" xfId="0" applyNumberFormat="1" applyFont="1" applyBorder="1" applyAlignment="1">
      <alignment horizontal="right"/>
    </xf>
    <xf numFmtId="16" fontId="2" fillId="0" borderId="7" xfId="0" applyNumberFormat="1" applyFont="1" applyBorder="1" applyAlignment="1" applyProtection="1">
      <alignment horizontal="center"/>
      <protection locked="0"/>
    </xf>
    <xf numFmtId="20" fontId="2" fillId="0" borderId="7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3" fillId="0" borderId="13" xfId="0" applyFont="1" applyBorder="1" applyAlignment="1">
      <alignment horizontal="right"/>
    </xf>
    <xf numFmtId="0" fontId="6" fillId="0" borderId="7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1" fontId="2" fillId="0" borderId="12" xfId="0" applyNumberFormat="1" applyFont="1" applyBorder="1" applyAlignment="1" applyProtection="1">
      <alignment/>
      <protection locked="0"/>
    </xf>
    <xf numFmtId="1" fontId="2" fillId="0" borderId="16" xfId="0" applyNumberFormat="1" applyFont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3" fillId="2" borderId="17" xfId="0" applyFont="1" applyFill="1" applyBorder="1" applyAlignment="1" applyProtection="1">
      <alignment horizontal="center"/>
      <protection/>
    </xf>
    <xf numFmtId="0" fontId="3" fillId="2" borderId="18" xfId="0" applyFont="1" applyFill="1" applyBorder="1" applyAlignment="1" applyProtection="1">
      <alignment horizontal="center"/>
      <protection/>
    </xf>
    <xf numFmtId="1" fontId="2" fillId="3" borderId="11" xfId="0" applyNumberFormat="1" applyFont="1" applyFill="1" applyBorder="1" applyAlignment="1">
      <alignment horizontal="right"/>
    </xf>
    <xf numFmtId="1" fontId="2" fillId="3" borderId="7" xfId="0" applyNumberFormat="1" applyFont="1" applyFill="1" applyBorder="1" applyAlignment="1">
      <alignment horizontal="right"/>
    </xf>
    <xf numFmtId="1" fontId="2" fillId="3" borderId="7" xfId="0" applyNumberFormat="1" applyFont="1" applyFill="1" applyBorder="1" applyAlignment="1" applyProtection="1">
      <alignment horizontal="right"/>
      <protection/>
    </xf>
    <xf numFmtId="1" fontId="2" fillId="3" borderId="9" xfId="0" applyNumberFormat="1" applyFont="1" applyFill="1" applyBorder="1" applyAlignment="1" applyProtection="1">
      <alignment horizontal="right"/>
      <protection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7" fillId="2" borderId="11" xfId="0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 applyProtection="1">
      <alignment horizontal="center"/>
      <protection/>
    </xf>
    <xf numFmtId="0" fontId="3" fillId="4" borderId="19" xfId="0" applyFont="1" applyFill="1" applyBorder="1" applyAlignment="1" applyProtection="1">
      <alignment horizontal="center"/>
      <protection/>
    </xf>
    <xf numFmtId="0" fontId="3" fillId="4" borderId="20" xfId="0" applyFont="1" applyFill="1" applyBorder="1" applyAlignment="1" applyProtection="1">
      <alignment horizontal="center"/>
      <protection/>
    </xf>
    <xf numFmtId="0" fontId="7" fillId="4" borderId="11" xfId="0" applyFont="1" applyFill="1" applyBorder="1" applyAlignment="1" applyProtection="1">
      <alignment horizontal="center"/>
      <protection/>
    </xf>
    <xf numFmtId="0" fontId="7" fillId="4" borderId="7" xfId="0" applyFont="1" applyFill="1" applyBorder="1" applyAlignment="1" applyProtection="1">
      <alignment horizontal="center"/>
      <protection/>
    </xf>
    <xf numFmtId="1" fontId="11" fillId="5" borderId="10" xfId="0" applyNumberFormat="1" applyFont="1" applyFill="1" applyBorder="1" applyAlignment="1">
      <alignment horizontal="right"/>
    </xf>
    <xf numFmtId="0" fontId="3" fillId="6" borderId="4" xfId="0" applyFont="1" applyFill="1" applyBorder="1" applyAlignment="1">
      <alignment horizontal="left"/>
    </xf>
    <xf numFmtId="0" fontId="3" fillId="6" borderId="4" xfId="0" applyFont="1" applyFill="1" applyBorder="1" applyAlignment="1">
      <alignment/>
    </xf>
    <xf numFmtId="0" fontId="2" fillId="6" borderId="12" xfId="0" applyFont="1" applyFill="1" applyBorder="1" applyAlignment="1">
      <alignment/>
    </xf>
    <xf numFmtId="0" fontId="2" fillId="6" borderId="21" xfId="0" applyFont="1" applyFill="1" applyBorder="1" applyAlignment="1" applyProtection="1">
      <alignment horizontal="center"/>
      <protection locked="0"/>
    </xf>
    <xf numFmtId="49" fontId="2" fillId="6" borderId="21" xfId="0" applyNumberFormat="1" applyFont="1" applyFill="1" applyBorder="1" applyAlignment="1" applyProtection="1">
      <alignment horizontal="center"/>
      <protection locked="0"/>
    </xf>
    <xf numFmtId="0" fontId="2" fillId="6" borderId="16" xfId="0" applyFont="1" applyFill="1" applyBorder="1" applyAlignment="1">
      <alignment/>
    </xf>
    <xf numFmtId="0" fontId="2" fillId="6" borderId="22" xfId="0" applyFont="1" applyFill="1" applyBorder="1" applyAlignment="1" applyProtection="1">
      <alignment horizontal="center"/>
      <protection locked="0"/>
    </xf>
    <xf numFmtId="49" fontId="2" fillId="6" borderId="7" xfId="0" applyNumberFormat="1" applyFont="1" applyFill="1" applyBorder="1" applyAlignment="1" applyProtection="1">
      <alignment horizontal="center"/>
      <protection locked="0"/>
    </xf>
    <xf numFmtId="0" fontId="2" fillId="6" borderId="7" xfId="0" applyFont="1" applyFill="1" applyBorder="1" applyAlignment="1" applyProtection="1">
      <alignment horizontal="center"/>
      <protection locked="0"/>
    </xf>
    <xf numFmtId="0" fontId="3" fillId="7" borderId="4" xfId="0" applyFont="1" applyFill="1" applyBorder="1" applyAlignment="1">
      <alignment horizontal="left"/>
    </xf>
    <xf numFmtId="0" fontId="3" fillId="7" borderId="4" xfId="0" applyFont="1" applyFill="1" applyBorder="1" applyAlignment="1">
      <alignment/>
    </xf>
    <xf numFmtId="0" fontId="2" fillId="7" borderId="23" xfId="0" applyFont="1" applyFill="1" applyBorder="1" applyAlignment="1">
      <alignment/>
    </xf>
    <xf numFmtId="0" fontId="2" fillId="7" borderId="21" xfId="0" applyFont="1" applyFill="1" applyBorder="1" applyAlignment="1" applyProtection="1">
      <alignment horizontal="center"/>
      <protection locked="0"/>
    </xf>
    <xf numFmtId="49" fontId="2" fillId="7" borderId="21" xfId="0" applyNumberFormat="1" applyFont="1" applyFill="1" applyBorder="1" applyAlignment="1" applyProtection="1">
      <alignment horizontal="center"/>
      <protection locked="0"/>
    </xf>
    <xf numFmtId="0" fontId="2" fillId="7" borderId="16" xfId="0" applyFont="1" applyFill="1" applyBorder="1" applyAlignment="1">
      <alignment/>
    </xf>
    <xf numFmtId="0" fontId="2" fillId="7" borderId="24" xfId="0" applyFont="1" applyFill="1" applyBorder="1" applyAlignment="1" applyProtection="1">
      <alignment horizontal="center"/>
      <protection locked="0"/>
    </xf>
    <xf numFmtId="0" fontId="2" fillId="7" borderId="12" xfId="0" applyFont="1" applyFill="1" applyBorder="1" applyAlignment="1">
      <alignment/>
    </xf>
    <xf numFmtId="0" fontId="2" fillId="7" borderId="22" xfId="0" applyFont="1" applyFill="1" applyBorder="1" applyAlignment="1" applyProtection="1">
      <alignment horizontal="center"/>
      <protection locked="0"/>
    </xf>
    <xf numFmtId="49" fontId="2" fillId="7" borderId="7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 quotePrefix="1">
      <alignment horizontal="center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 quotePrefix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8" fillId="0" borderId="16" xfId="16" applyFont="1" applyBorder="1" applyAlignment="1" applyProtection="1">
      <alignment horizontal="center"/>
      <protection locked="0"/>
    </xf>
    <xf numFmtId="0" fontId="8" fillId="0" borderId="25" xfId="16" applyBorder="1" applyAlignment="1" applyProtection="1">
      <alignment horizontal="center"/>
      <protection locked="0"/>
    </xf>
    <xf numFmtId="0" fontId="8" fillId="0" borderId="22" xfId="16" applyBorder="1" applyAlignment="1" applyProtection="1">
      <alignment horizontal="center"/>
      <protection locked="0"/>
    </xf>
    <xf numFmtId="0" fontId="12" fillId="2" borderId="13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14" fontId="7" fillId="0" borderId="16" xfId="0" applyNumberFormat="1" applyFont="1" applyBorder="1" applyAlignment="1" applyProtection="1">
      <alignment horizontal="center"/>
      <protection locked="0"/>
    </xf>
    <xf numFmtId="14" fontId="7" fillId="0" borderId="22" xfId="0" applyNumberFormat="1" applyFont="1" applyBorder="1" applyAlignment="1" applyProtection="1">
      <alignment horizontal="center"/>
      <protection locked="0"/>
    </xf>
    <xf numFmtId="0" fontId="3" fillId="7" borderId="27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7" fontId="7" fillId="0" borderId="16" xfId="0" applyNumberFormat="1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75" zoomScaleNormal="75" workbookViewId="0" topLeftCell="A1">
      <selection activeCell="C3" sqref="C3:H3"/>
    </sheetView>
  </sheetViews>
  <sheetFormatPr defaultColWidth="9.140625" defaultRowHeight="12.75"/>
  <cols>
    <col min="2" max="2" width="10.00390625" style="0" customWidth="1"/>
    <col min="3" max="3" width="12.8515625" style="0" customWidth="1"/>
    <col min="4" max="4" width="7.00390625" style="0" customWidth="1"/>
    <col min="5" max="5" width="12.57421875" style="0" customWidth="1"/>
    <col min="6" max="6" width="8.57421875" style="0" customWidth="1"/>
    <col min="7" max="7" width="16.7109375" style="0" customWidth="1"/>
    <col min="8" max="8" width="11.57421875" style="0" customWidth="1"/>
    <col min="9" max="9" width="2.8515625" style="0" bestFit="1" customWidth="1"/>
    <col min="10" max="10" width="11.140625" style="0" customWidth="1"/>
    <col min="11" max="11" width="10.7109375" style="0" customWidth="1"/>
    <col min="12" max="12" width="19.140625" style="0" customWidth="1"/>
  </cols>
  <sheetData>
    <row r="1" spans="1:12" ht="27" thickBot="1">
      <c r="A1" s="105" t="s">
        <v>100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ht="11.25" customHeight="1" thickBot="1"/>
    <row r="3" spans="1:12" ht="18.75" thickBot="1">
      <c r="A3" s="23" t="s">
        <v>81</v>
      </c>
      <c r="C3" s="93" t="s">
        <v>174</v>
      </c>
      <c r="D3" s="94"/>
      <c r="E3" s="94"/>
      <c r="F3" s="94"/>
      <c r="G3" s="94"/>
      <c r="H3" s="95"/>
      <c r="I3" s="2"/>
      <c r="J3" s="23" t="s">
        <v>49</v>
      </c>
      <c r="K3" s="36">
        <v>23</v>
      </c>
      <c r="L3" s="10" t="s">
        <v>50</v>
      </c>
    </row>
    <row r="4" ht="11.25" customHeight="1"/>
    <row r="5" spans="1:11" ht="18">
      <c r="A5" s="23" t="s">
        <v>0</v>
      </c>
      <c r="C5" s="96" t="s">
        <v>163</v>
      </c>
      <c r="D5" s="97"/>
      <c r="E5" s="23" t="s">
        <v>82</v>
      </c>
      <c r="F5" s="27">
        <v>3754</v>
      </c>
      <c r="G5" s="23" t="s">
        <v>83</v>
      </c>
      <c r="H5" s="25"/>
      <c r="I5" s="2"/>
      <c r="K5" s="22">
        <v>4054</v>
      </c>
    </row>
    <row r="6" ht="11.25" customHeight="1"/>
    <row r="7" spans="1:12" ht="18">
      <c r="A7" s="23" t="s">
        <v>84</v>
      </c>
      <c r="C7" s="93" t="s">
        <v>172</v>
      </c>
      <c r="D7" s="94"/>
      <c r="E7" s="94"/>
      <c r="F7" s="95"/>
      <c r="G7" s="23"/>
      <c r="H7" s="52"/>
      <c r="I7" s="8"/>
      <c r="J7" s="23" t="s">
        <v>53</v>
      </c>
      <c r="K7" s="50">
        <v>117</v>
      </c>
      <c r="L7" s="23" t="s">
        <v>52</v>
      </c>
    </row>
    <row r="8" spans="2:10" ht="11.25" customHeight="1">
      <c r="B8" s="2"/>
      <c r="C8" s="2"/>
      <c r="D8" s="2"/>
      <c r="E8" s="2"/>
      <c r="F8" s="2"/>
      <c r="G8" s="2"/>
      <c r="H8" s="2"/>
      <c r="I8" s="2"/>
      <c r="J8" s="2"/>
    </row>
    <row r="9" spans="1:11" ht="18">
      <c r="A9" s="23" t="s">
        <v>51</v>
      </c>
      <c r="B9" s="2"/>
      <c r="C9" s="93" t="s">
        <v>171</v>
      </c>
      <c r="D9" s="94"/>
      <c r="E9" s="94"/>
      <c r="F9" s="94"/>
      <c r="G9" s="94"/>
      <c r="H9" s="94"/>
      <c r="I9" s="94"/>
      <c r="J9" s="94"/>
      <c r="K9" s="95"/>
    </row>
    <row r="10" ht="11.25" customHeight="1"/>
    <row r="11" spans="2:11" ht="18">
      <c r="B11" t="s">
        <v>54</v>
      </c>
      <c r="C11" s="93" t="s">
        <v>164</v>
      </c>
      <c r="D11" s="94"/>
      <c r="E11" s="94"/>
      <c r="F11" s="94"/>
      <c r="G11" s="94"/>
      <c r="H11" s="94"/>
      <c r="I11" s="94"/>
      <c r="J11" s="94"/>
      <c r="K11" s="95"/>
    </row>
    <row r="12" ht="11.25" customHeight="1" thickBot="1"/>
    <row r="13" spans="1:12" ht="18.75" thickBot="1">
      <c r="A13" s="23" t="s">
        <v>56</v>
      </c>
      <c r="C13" s="50">
        <v>35</v>
      </c>
      <c r="D13" s="26" t="s">
        <v>55</v>
      </c>
      <c r="E13" s="23" t="s">
        <v>57</v>
      </c>
      <c r="F13" s="100">
        <v>3500</v>
      </c>
      <c r="G13" s="101"/>
      <c r="H13" s="26" t="s">
        <v>55</v>
      </c>
      <c r="I13" s="23" t="s">
        <v>89</v>
      </c>
      <c r="L13" s="36" t="s">
        <v>159</v>
      </c>
    </row>
    <row r="14" ht="10.5" customHeight="1"/>
    <row r="15" spans="1:12" ht="18">
      <c r="A15" s="23" t="s">
        <v>85</v>
      </c>
      <c r="G15" s="35" t="s">
        <v>86</v>
      </c>
      <c r="H15" s="23"/>
      <c r="J15" s="96" t="s">
        <v>160</v>
      </c>
      <c r="K15" s="98"/>
      <c r="L15" s="99"/>
    </row>
    <row r="16" ht="11.25" customHeight="1"/>
    <row r="17" spans="1:12" ht="18">
      <c r="A17" s="23" t="s">
        <v>88</v>
      </c>
      <c r="B17" s="11"/>
      <c r="C17" s="100" t="s">
        <v>165</v>
      </c>
      <c r="D17" s="101"/>
      <c r="E17" t="s">
        <v>87</v>
      </c>
      <c r="F17" s="100" t="s">
        <v>148</v>
      </c>
      <c r="G17" s="101"/>
      <c r="H17" s="8" t="s">
        <v>59</v>
      </c>
      <c r="I17" s="102" t="s">
        <v>166</v>
      </c>
      <c r="J17" s="103"/>
      <c r="K17" s="103"/>
      <c r="L17" s="104"/>
    </row>
    <row r="18" ht="11.25" customHeight="1"/>
    <row r="19" spans="1:11" ht="18">
      <c r="A19" s="23" t="s">
        <v>90</v>
      </c>
      <c r="C19" s="93" t="s">
        <v>167</v>
      </c>
      <c r="D19" s="94"/>
      <c r="E19" s="94"/>
      <c r="F19" s="94"/>
      <c r="G19" s="94"/>
      <c r="H19" s="94"/>
      <c r="I19" s="94"/>
      <c r="J19" s="94"/>
      <c r="K19" s="95"/>
    </row>
    <row r="20" ht="11.25" customHeight="1"/>
    <row r="21" spans="3:11" ht="18">
      <c r="C21" s="93" t="s">
        <v>168</v>
      </c>
      <c r="D21" s="94"/>
      <c r="E21" s="94"/>
      <c r="F21" s="94"/>
      <c r="G21" s="95"/>
      <c r="H21" s="23" t="s">
        <v>60</v>
      </c>
      <c r="J21" s="100">
        <v>2900</v>
      </c>
      <c r="K21" s="101"/>
    </row>
    <row r="22" ht="11.25" customHeight="1"/>
    <row r="23" ht="18">
      <c r="A23" s="23" t="s">
        <v>91</v>
      </c>
    </row>
    <row r="24" ht="11.25" customHeight="1"/>
    <row r="25" spans="1:11" ht="18">
      <c r="A25" s="23" t="s">
        <v>58</v>
      </c>
      <c r="B25" s="23"/>
      <c r="C25" s="7"/>
      <c r="D25" s="93" t="s">
        <v>169</v>
      </c>
      <c r="E25" s="94"/>
      <c r="F25" s="94"/>
      <c r="G25" s="94"/>
      <c r="H25" s="94"/>
      <c r="I25" s="94"/>
      <c r="J25" s="94"/>
      <c r="K25" s="95"/>
    </row>
    <row r="26" ht="11.25" customHeight="1"/>
    <row r="27" spans="1:11" ht="18" customHeight="1">
      <c r="A27" s="23"/>
      <c r="D27" s="93" t="s">
        <v>170</v>
      </c>
      <c r="E27" s="94"/>
      <c r="F27" s="94"/>
      <c r="G27" s="94"/>
      <c r="H27" s="94"/>
      <c r="I27" s="94"/>
      <c r="J27" s="94"/>
      <c r="K27" s="95"/>
    </row>
    <row r="28" ht="11.25" customHeight="1"/>
    <row r="29" ht="18" customHeight="1">
      <c r="A29" s="23" t="s">
        <v>92</v>
      </c>
    </row>
    <row r="30" ht="11.25" customHeight="1"/>
    <row r="31" ht="18">
      <c r="A31" s="23" t="s">
        <v>96</v>
      </c>
    </row>
    <row r="32" ht="18">
      <c r="A32" s="23"/>
    </row>
    <row r="33" ht="10.5" customHeight="1">
      <c r="A33" s="23"/>
    </row>
    <row r="34" spans="1:12" ht="18" customHeight="1">
      <c r="A34" s="23" t="s">
        <v>93</v>
      </c>
      <c r="C34" s="108"/>
      <c r="D34" s="109"/>
      <c r="F34" s="23" t="s">
        <v>94</v>
      </c>
      <c r="H34" s="93"/>
      <c r="I34" s="94"/>
      <c r="J34" s="94"/>
      <c r="K34" s="95"/>
      <c r="L34" s="23" t="s">
        <v>95</v>
      </c>
    </row>
    <row r="35" spans="1:12" ht="11.25" customHeight="1">
      <c r="A35" s="8"/>
      <c r="B35" s="2"/>
      <c r="C35" s="2"/>
      <c r="D35" s="2"/>
      <c r="E35" s="2"/>
      <c r="F35" s="8"/>
      <c r="G35" s="2"/>
      <c r="H35" s="2"/>
      <c r="I35" s="2"/>
      <c r="J35" s="2"/>
      <c r="K35" s="2"/>
      <c r="L35" s="8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sheetProtection/>
  <mergeCells count="18">
    <mergeCell ref="A1:L1"/>
    <mergeCell ref="D27:K27"/>
    <mergeCell ref="C34:D34"/>
    <mergeCell ref="H34:K34"/>
    <mergeCell ref="C19:K19"/>
    <mergeCell ref="C21:G21"/>
    <mergeCell ref="J21:K21"/>
    <mergeCell ref="D25:K25"/>
    <mergeCell ref="C11:K11"/>
    <mergeCell ref="F13:G13"/>
    <mergeCell ref="J15:L15"/>
    <mergeCell ref="C17:D17"/>
    <mergeCell ref="F17:G17"/>
    <mergeCell ref="I17:L17"/>
    <mergeCell ref="C3:H3"/>
    <mergeCell ref="C5:D5"/>
    <mergeCell ref="C7:F7"/>
    <mergeCell ref="C9:K9"/>
  </mergeCells>
  <printOptions/>
  <pageMargins left="0.75" right="0.75" top="0.48" bottom="0.5" header="0.48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8"/>
  <sheetViews>
    <sheetView zoomScale="75" zoomScaleNormal="75" workbookViewId="0" topLeftCell="A22">
      <selection activeCell="L32" sqref="L32"/>
    </sheetView>
  </sheetViews>
  <sheetFormatPr defaultColWidth="9.140625" defaultRowHeight="12.75"/>
  <cols>
    <col min="1" max="1" width="10.28125" style="0" customWidth="1"/>
    <col min="2" max="2" width="7.8515625" style="0" customWidth="1"/>
    <col min="3" max="3" width="14.57421875" style="0" customWidth="1"/>
    <col min="4" max="4" width="2.7109375" style="0" customWidth="1"/>
    <col min="5" max="5" width="3.8515625" style="0" customWidth="1"/>
    <col min="7" max="7" width="2.7109375" style="0" customWidth="1"/>
    <col min="8" max="8" width="3.8515625" style="0" customWidth="1"/>
    <col min="10" max="10" width="11.57421875" style="0" customWidth="1"/>
    <col min="11" max="11" width="10.57421875" style="0" customWidth="1"/>
    <col min="12" max="12" width="16.8515625" style="0" customWidth="1"/>
    <col min="13" max="13" width="12.421875" style="0" customWidth="1"/>
    <col min="14" max="15" width="10.140625" style="0" customWidth="1"/>
    <col min="17" max="17" width="16.57421875" style="0" customWidth="1"/>
    <col min="18" max="19" width="0.13671875" style="0" hidden="1" customWidth="1"/>
    <col min="20" max="20" width="9.8515625" style="0" hidden="1" customWidth="1"/>
    <col min="21" max="21" width="0.13671875" style="0" hidden="1" customWidth="1"/>
    <col min="22" max="22" width="0.2890625" style="0" hidden="1" customWidth="1"/>
    <col min="23" max="23" width="0.5625" style="0" hidden="1" customWidth="1"/>
    <col min="24" max="25" width="9.8515625" style="0" hidden="1" customWidth="1"/>
    <col min="26" max="26" width="9.28125" style="0" hidden="1" customWidth="1"/>
    <col min="27" max="28" width="9.8515625" style="0" hidden="1" customWidth="1"/>
    <col min="29" max="29" width="0.13671875" style="0" hidden="1" customWidth="1"/>
    <col min="30" max="30" width="9.8515625" style="0" hidden="1" customWidth="1"/>
    <col min="31" max="31" width="0.13671875" style="0" hidden="1" customWidth="1"/>
    <col min="32" max="33" width="9.8515625" style="0" hidden="1" customWidth="1"/>
    <col min="34" max="35" width="0.13671875" style="0" hidden="1" customWidth="1"/>
    <col min="36" max="38" width="9.140625" style="0" hidden="1" customWidth="1"/>
    <col min="39" max="50" width="0" style="0" hidden="1" customWidth="1"/>
  </cols>
  <sheetData>
    <row r="1" spans="1:50" ht="26.25">
      <c r="A1" s="116" t="s">
        <v>100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6:50" ht="6" customHeight="1">
      <c r="P2" s="31"/>
      <c r="Q2" s="32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</row>
    <row r="3" spans="1:50" ht="23.25">
      <c r="A3" s="4" t="s">
        <v>69</v>
      </c>
      <c r="E3" s="21"/>
      <c r="F3" s="24">
        <v>1</v>
      </c>
      <c r="G3" s="121" t="s">
        <v>70</v>
      </c>
      <c r="H3" s="122"/>
      <c r="I3" s="123"/>
      <c r="J3" s="24">
        <v>1</v>
      </c>
      <c r="K3" s="4"/>
      <c r="L3" s="4" t="s">
        <v>46</v>
      </c>
      <c r="M3" s="24">
        <v>23</v>
      </c>
      <c r="N3" s="20" t="s">
        <v>47</v>
      </c>
      <c r="O3" s="20"/>
      <c r="P3" s="31"/>
      <c r="Q3" s="31"/>
      <c r="R3" s="31"/>
      <c r="S3" s="31"/>
      <c r="T3" s="31"/>
      <c r="U3" s="31"/>
      <c r="V3" s="31"/>
      <c r="W3" s="31"/>
      <c r="X3" s="31"/>
      <c r="Y3" s="31"/>
      <c r="Z3" s="31" t="s">
        <v>40</v>
      </c>
      <c r="AA3" s="31">
        <v>57.2958</v>
      </c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</row>
    <row r="4" spans="1:50" ht="6" customHeight="1">
      <c r="A4" s="1"/>
      <c r="K4" s="1"/>
      <c r="L4" s="1"/>
      <c r="M4" s="2"/>
      <c r="P4" s="31"/>
      <c r="Q4" s="32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</row>
    <row r="5" spans="1:50" ht="18.75" customHeight="1">
      <c r="A5" s="3" t="s">
        <v>65</v>
      </c>
      <c r="C5" s="117" t="s">
        <v>160</v>
      </c>
      <c r="D5" s="118"/>
      <c r="E5" s="118"/>
      <c r="F5" s="118"/>
      <c r="G5" s="118"/>
      <c r="H5" s="101"/>
      <c r="I5" s="6"/>
      <c r="K5" s="9"/>
      <c r="L5" s="4" t="s">
        <v>61</v>
      </c>
      <c r="M5" s="49">
        <f>R5+S5+T5</f>
        <v>2</v>
      </c>
      <c r="N5" s="34"/>
      <c r="O5" s="6"/>
      <c r="P5" s="31"/>
      <c r="Q5" s="32"/>
      <c r="R5" s="51" t="str">
        <f>IF(M3=70,"1",IF(M3=24,"2",IF(M3=23,"2",IF(M3=13,"5"))))</f>
        <v>2</v>
      </c>
      <c r="S5" s="31" t="b">
        <f>IF(M3=9,"5",IF(M3=6,"5",IF(M3=3,"5",IF(M3=1.3,"5"))))</f>
        <v>0</v>
      </c>
      <c r="T5" s="31" t="b">
        <f>IF(M3=1.2,"5",IF(M3=0.6,"5",IF(M3=0.7,"5")))</f>
        <v>0</v>
      </c>
      <c r="U5" s="32" t="s">
        <v>22</v>
      </c>
      <c r="V5" s="31"/>
      <c r="W5" s="31"/>
      <c r="X5" s="31"/>
      <c r="Y5" s="32" t="s">
        <v>23</v>
      </c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</row>
    <row r="6" spans="1:50" ht="5.25" customHeight="1" thickBot="1">
      <c r="A6" s="3"/>
      <c r="C6" s="2"/>
      <c r="D6" s="2"/>
      <c r="E6" s="2"/>
      <c r="F6" s="2"/>
      <c r="G6" s="2"/>
      <c r="H6" s="2"/>
      <c r="I6" s="2"/>
      <c r="K6" s="3"/>
      <c r="L6" s="3"/>
      <c r="M6" s="2"/>
      <c r="N6" s="5"/>
      <c r="O6" s="5"/>
      <c r="P6" s="31"/>
      <c r="Q6" s="32"/>
      <c r="R6" s="32"/>
      <c r="S6" s="32"/>
      <c r="T6" s="32"/>
      <c r="U6" s="31"/>
      <c r="V6" s="32"/>
      <c r="W6" s="32"/>
      <c r="X6" s="32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</row>
    <row r="7" spans="1:50" ht="21" thickBot="1">
      <c r="A7" s="3" t="s">
        <v>66</v>
      </c>
      <c r="C7" s="100">
        <v>3754</v>
      </c>
      <c r="D7" s="101"/>
      <c r="E7" s="2"/>
      <c r="F7" s="8" t="s">
        <v>67</v>
      </c>
      <c r="G7" s="2"/>
      <c r="H7" s="2"/>
      <c r="I7" s="2"/>
      <c r="J7" s="119" t="s">
        <v>159</v>
      </c>
      <c r="K7" s="120"/>
      <c r="L7" s="12" t="s">
        <v>68</v>
      </c>
      <c r="M7" s="38" t="s">
        <v>106</v>
      </c>
      <c r="N7" s="5"/>
      <c r="O7" s="5"/>
      <c r="P7" s="31"/>
      <c r="Q7" s="32"/>
      <c r="R7" s="31">
        <f>CODE(UPPER(MID(M7,1,1)))-65</f>
        <v>9</v>
      </c>
      <c r="S7" s="31">
        <f>CODE(UPPER(MID(M7,3,1)))-48</f>
        <v>1</v>
      </c>
      <c r="T7" s="31">
        <f>CODE(UPPER(MID(M7,5,1)))-64.5</f>
        <v>20.5</v>
      </c>
      <c r="U7" s="31">
        <f>R7*10+S7+T7/24-90</f>
        <v>1.8541666666666714</v>
      </c>
      <c r="V7" s="31">
        <f>CODE(UPPER(MID(M7,2,1)))-65</f>
        <v>14</v>
      </c>
      <c r="W7" s="31">
        <f>CODE(UPPER(MID(M7,4,1)))-48</f>
        <v>0</v>
      </c>
      <c r="X7" s="31">
        <f>CODE(UPPER(MID(M7,6,1)))-64.5</f>
        <v>20.5</v>
      </c>
      <c r="Y7" s="31">
        <f>V7*10+W7+X7/24-90</f>
        <v>50.85416666666666</v>
      </c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</row>
    <row r="8" spans="1:50" ht="6" customHeight="1" thickBot="1">
      <c r="A8" s="3"/>
      <c r="C8" s="2"/>
      <c r="D8" s="2"/>
      <c r="E8" s="2"/>
      <c r="F8" s="2"/>
      <c r="G8" s="6"/>
      <c r="H8" s="6"/>
      <c r="I8" s="2"/>
      <c r="K8" s="3"/>
      <c r="L8" s="3"/>
      <c r="M8" s="2"/>
      <c r="N8" s="5"/>
      <c r="O8" s="5"/>
      <c r="P8" s="31"/>
      <c r="Q8" s="32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</row>
    <row r="9" spans="1:50" ht="16.5" customHeight="1">
      <c r="A9" s="13" t="s">
        <v>71</v>
      </c>
      <c r="B9" s="14" t="s">
        <v>72</v>
      </c>
      <c r="C9" s="14" t="s">
        <v>73</v>
      </c>
      <c r="D9" s="73" t="s">
        <v>41</v>
      </c>
      <c r="E9" s="73"/>
      <c r="F9" s="74"/>
      <c r="G9" s="82"/>
      <c r="H9" s="82"/>
      <c r="I9" s="83"/>
      <c r="J9" s="17" t="s">
        <v>76</v>
      </c>
      <c r="K9" s="16" t="s">
        <v>42</v>
      </c>
      <c r="L9" s="17" t="s">
        <v>101</v>
      </c>
      <c r="M9" s="64" t="s">
        <v>77</v>
      </c>
      <c r="N9" s="16" t="s">
        <v>78</v>
      </c>
      <c r="O9" s="53" t="s">
        <v>45</v>
      </c>
      <c r="P9" s="58" t="s">
        <v>98</v>
      </c>
      <c r="Q9" s="68" t="s">
        <v>97</v>
      </c>
      <c r="R9" s="31"/>
      <c r="S9" s="31"/>
      <c r="T9" s="31"/>
      <c r="U9" s="31"/>
      <c r="V9" s="31"/>
      <c r="W9" s="31"/>
      <c r="X9" s="31"/>
      <c r="Y9" s="31"/>
      <c r="Z9" s="31" t="s">
        <v>35</v>
      </c>
      <c r="AA9" s="31" t="s">
        <v>36</v>
      </c>
      <c r="AB9" s="31" t="s">
        <v>37</v>
      </c>
      <c r="AC9" s="31"/>
      <c r="AD9" s="31" t="s">
        <v>38</v>
      </c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 t="s">
        <v>36</v>
      </c>
      <c r="AP9" s="31" t="s">
        <v>35</v>
      </c>
      <c r="AQ9" s="31" t="s">
        <v>37</v>
      </c>
      <c r="AR9" s="31"/>
      <c r="AS9" s="31" t="s">
        <v>38</v>
      </c>
      <c r="AT9" s="31"/>
      <c r="AU9" s="31"/>
      <c r="AV9" s="31"/>
      <c r="AW9" s="31"/>
      <c r="AX9" s="31" t="s">
        <v>48</v>
      </c>
    </row>
    <row r="10" spans="1:50" s="2" customFormat="1" ht="16.5" customHeight="1" thickBot="1">
      <c r="A10" s="18"/>
      <c r="B10" s="19" t="s">
        <v>62</v>
      </c>
      <c r="C10" s="19" t="s">
        <v>74</v>
      </c>
      <c r="D10" s="113" t="s">
        <v>79</v>
      </c>
      <c r="E10" s="114"/>
      <c r="F10" s="115"/>
      <c r="G10" s="110" t="s">
        <v>80</v>
      </c>
      <c r="H10" s="111"/>
      <c r="I10" s="112"/>
      <c r="J10" s="19" t="s">
        <v>75</v>
      </c>
      <c r="K10" s="15"/>
      <c r="L10" s="19"/>
      <c r="M10" s="65" t="s">
        <v>43</v>
      </c>
      <c r="N10" s="15"/>
      <c r="O10" s="54" t="s">
        <v>44</v>
      </c>
      <c r="P10" s="59" t="s">
        <v>97</v>
      </c>
      <c r="Q10" s="69" t="s">
        <v>99</v>
      </c>
      <c r="R10" s="32"/>
      <c r="S10" s="32"/>
      <c r="T10" s="32"/>
      <c r="U10" s="32" t="s">
        <v>22</v>
      </c>
      <c r="V10" s="32"/>
      <c r="W10" s="32"/>
      <c r="X10" s="32"/>
      <c r="Y10" s="32" t="s">
        <v>23</v>
      </c>
      <c r="Z10" s="32" t="s">
        <v>24</v>
      </c>
      <c r="AA10" s="32" t="s">
        <v>25</v>
      </c>
      <c r="AB10" s="32" t="s">
        <v>26</v>
      </c>
      <c r="AC10" s="32" t="s">
        <v>27</v>
      </c>
      <c r="AD10" s="32" t="s">
        <v>28</v>
      </c>
      <c r="AE10" s="32" t="s">
        <v>29</v>
      </c>
      <c r="AF10" s="32" t="s">
        <v>30</v>
      </c>
      <c r="AG10" s="32" t="s">
        <v>31</v>
      </c>
      <c r="AH10" s="32" t="s">
        <v>32</v>
      </c>
      <c r="AI10" s="32" t="s">
        <v>39</v>
      </c>
      <c r="AJ10" s="32"/>
      <c r="AK10" s="32" t="s">
        <v>33</v>
      </c>
      <c r="AL10" s="32" t="s">
        <v>34</v>
      </c>
      <c r="AM10" s="32"/>
      <c r="AN10" s="32"/>
      <c r="AO10" s="32" t="s">
        <v>24</v>
      </c>
      <c r="AP10" s="32" t="s">
        <v>25</v>
      </c>
      <c r="AQ10" s="32" t="s">
        <v>26</v>
      </c>
      <c r="AR10" s="32" t="s">
        <v>27</v>
      </c>
      <c r="AS10" s="32" t="s">
        <v>28</v>
      </c>
      <c r="AT10" s="32" t="s">
        <v>29</v>
      </c>
      <c r="AU10" s="32" t="s">
        <v>30</v>
      </c>
      <c r="AV10" s="32" t="s">
        <v>31</v>
      </c>
      <c r="AW10" s="32" t="s">
        <v>32</v>
      </c>
      <c r="AX10" s="32" t="s">
        <v>39</v>
      </c>
    </row>
    <row r="11" spans="1:50" ht="16.5" customHeight="1">
      <c r="A11" s="39">
        <v>38150</v>
      </c>
      <c r="B11" s="40">
        <v>0.751388888888889</v>
      </c>
      <c r="C11" s="41" t="s">
        <v>102</v>
      </c>
      <c r="D11" s="75" t="s">
        <v>25</v>
      </c>
      <c r="E11" s="76">
        <v>5</v>
      </c>
      <c r="F11" s="77" t="s">
        <v>1</v>
      </c>
      <c r="G11" s="84" t="s">
        <v>25</v>
      </c>
      <c r="H11" s="85">
        <v>5</v>
      </c>
      <c r="I11" s="86" t="s">
        <v>1</v>
      </c>
      <c r="J11" s="42">
        <v>2468</v>
      </c>
      <c r="K11" s="42" t="s">
        <v>103</v>
      </c>
      <c r="L11" s="43" t="s">
        <v>104</v>
      </c>
      <c r="M11" s="60">
        <f>IF(K11&lt;&gt;0,AL11,0)</f>
        <v>47</v>
      </c>
      <c r="N11" s="44">
        <f aca="true" t="shared" si="0" ref="N11:N32">(IF(E11&gt;0,M11,0)*$M$5)+(IF(H11&gt;0,M11,0)*$M$5)</f>
        <v>188</v>
      </c>
      <c r="O11" s="55"/>
      <c r="P11" s="66">
        <f>IF(K11&lt;&gt;0,AI11,"")</f>
        <v>299</v>
      </c>
      <c r="Q11" s="70">
        <f>IF(K11&lt;&gt;0,AX11,"")</f>
        <v>119</v>
      </c>
      <c r="R11" s="31">
        <f>IF(K11&lt;&gt;0,CODE(UPPER(MID(K11,1,1)))-65,0)</f>
        <v>9</v>
      </c>
      <c r="S11" s="31">
        <f>IF(K11&lt;&gt;0,CODE(UPPER(MID(K11,3,1)))-48,0)</f>
        <v>1</v>
      </c>
      <c r="T11" s="31">
        <f>IF(K11&lt;&gt;0,CODE(UPPER(MID(K11,5,1)))-64.5,0)</f>
        <v>13.5</v>
      </c>
      <c r="U11" s="31">
        <f>R11*10+S11+T11/24-90</f>
        <v>1.5625</v>
      </c>
      <c r="V11" s="31">
        <f>IF(K11&lt;&gt;0,CODE(UPPER(MID(K11,2,1)))-65,0)</f>
        <v>14</v>
      </c>
      <c r="W11" s="31">
        <f>IF(K11&lt;&gt;0,CODE(UPPER(MID(K11,4,1)))-48,0)</f>
        <v>1</v>
      </c>
      <c r="X11" s="31">
        <f>IF(K11&lt;&gt;0,CODE(UPPER(MID(K11,6,1)))-64.5,0)</f>
        <v>1.5</v>
      </c>
      <c r="Y11" s="31">
        <f>V11*10+W11+X11/24-90</f>
        <v>51.0625</v>
      </c>
      <c r="Z11" s="31">
        <f>$Y$7/$AA$3</f>
        <v>0.8875723293272222</v>
      </c>
      <c r="AA11" s="31">
        <f>Y11/$AA$3</f>
        <v>0.8912084306354043</v>
      </c>
      <c r="AB11" s="31">
        <f>(U11-$U$7)*2/$AA$3</f>
        <v>-0.01018108366290972</v>
      </c>
      <c r="AC11" s="31">
        <f>SIN(Z11)*SIN(AA11)+COS(Z11)*COS(AA11)*COS(AB11)</f>
        <v>0.9999728269794256</v>
      </c>
      <c r="AD11" s="31">
        <f>ATAN(SQRT(1-AC11*AC11)/AC11)</f>
        <v>0.007371993439701047</v>
      </c>
      <c r="AE11" s="31">
        <f>IF(AD11&lt;0,180/$AA$3+AD11,AD11)</f>
        <v>0.007371993439701047</v>
      </c>
      <c r="AF11" s="31">
        <f>IF(Z11&lt;&gt;AA11,90*(1+ABS(Z11-AA11)/(Z11-AA11)))</f>
        <v>0</v>
      </c>
      <c r="AG11" s="31">
        <f>IF(AB11&lt;&gt;0,90+$AA$3*ATAN((SIN(Z11)*AC11-SIN(AA11))/(SIN(AB11)*COS(Z11)^2)),AF11*1)</f>
        <v>119.6687863430237</v>
      </c>
      <c r="AH11" s="31">
        <f>IF(SIN(AB11)&lt;0,AG11+180,AG11*1)</f>
        <v>299.6687863430237</v>
      </c>
      <c r="AI11" s="31">
        <f>INT(AH11)</f>
        <v>299</v>
      </c>
      <c r="AJ11" s="31"/>
      <c r="AK11" s="31">
        <f>6365.11*AE11</f>
        <v>46.923549162975526</v>
      </c>
      <c r="AL11" s="31">
        <f>IF(AK11&lt;5,5,INT(AK11+0.5))</f>
        <v>47</v>
      </c>
      <c r="AM11" s="31"/>
      <c r="AN11" s="31"/>
      <c r="AO11" s="31">
        <f>Y11/$AA$3</f>
        <v>0.8912084306354043</v>
      </c>
      <c r="AP11" s="31">
        <f>$Y$7/$AA$3</f>
        <v>0.8875723293272222</v>
      </c>
      <c r="AQ11" s="31">
        <f>($U$7-U11)*2/$AA$3</f>
        <v>0.01018108366290972</v>
      </c>
      <c r="AR11" s="31">
        <f>SIN(AO11)*SIN(AP11)+COS(AO11)*COS(AP11)*COS(AQ11)</f>
        <v>0.9999728269794256</v>
      </c>
      <c r="AS11" s="31">
        <f>ATAN(SQRT(1-AR11*AR11)/AR11)</f>
        <v>0.007371993439701047</v>
      </c>
      <c r="AT11" s="31">
        <f>IF(AD11&lt;0,180/$AA$3+AD11,AD11)</f>
        <v>0.007371993439701047</v>
      </c>
      <c r="AU11" s="31">
        <f>IF(AO11&lt;&gt;AP11,90*(1+ABS(AO11-AP11)/(AO11-AP11)))</f>
        <v>180</v>
      </c>
      <c r="AV11" s="31">
        <f>IF(AQ11&lt;&gt;0,90+$AA$3*ATAN((SIN(AO11)*AR11-SIN(AP11))/(SIN(AQ11)*COS(AO11)^2)),AU11*1)</f>
        <v>119.43615122794127</v>
      </c>
      <c r="AW11" s="31">
        <f>IF(SIN(AQ11)&lt;0,AV11+180,AV11*1)</f>
        <v>119.43615122794127</v>
      </c>
      <c r="AX11" s="31">
        <f>INT(AW11)</f>
        <v>119</v>
      </c>
    </row>
    <row r="12" spans="1:50" ht="16.5" customHeight="1">
      <c r="A12" s="39">
        <v>38150</v>
      </c>
      <c r="B12" s="40">
        <v>0.7708333333333334</v>
      </c>
      <c r="C12" s="41" t="s">
        <v>107</v>
      </c>
      <c r="D12" s="78" t="s">
        <v>25</v>
      </c>
      <c r="E12" s="79">
        <v>4</v>
      </c>
      <c r="F12" s="77" t="s">
        <v>1</v>
      </c>
      <c r="G12" s="87" t="s">
        <v>25</v>
      </c>
      <c r="H12" s="88">
        <v>4</v>
      </c>
      <c r="I12" s="86" t="s">
        <v>2</v>
      </c>
      <c r="J12" s="37">
        <v>4045</v>
      </c>
      <c r="K12" s="42" t="s">
        <v>105</v>
      </c>
      <c r="L12" s="29"/>
      <c r="M12" s="61">
        <f aca="true" t="shared" si="1" ref="M12:M32">IF(K12&lt;&gt;0,AL12,0)</f>
        <v>44</v>
      </c>
      <c r="N12" s="44">
        <f t="shared" si="0"/>
        <v>176</v>
      </c>
      <c r="O12" s="56"/>
      <c r="P12" s="67">
        <f aca="true" t="shared" si="2" ref="P12:P32">IF(K12&lt;&gt;0,AI12,"")</f>
        <v>137</v>
      </c>
      <c r="Q12" s="71">
        <f aca="true" t="shared" si="3" ref="Q12:Q34">IF(K12&lt;&gt;0,AX12,"")</f>
        <v>317</v>
      </c>
      <c r="R12" s="31">
        <f aca="true" t="shared" si="4" ref="R12:R35">IF(K12&lt;&gt;0,CODE(UPPER(MID(K12,1,1)))-65,0)</f>
        <v>9</v>
      </c>
      <c r="S12" s="31">
        <f aca="true" t="shared" si="5" ref="S12:S35">IF(K12&lt;&gt;0,CODE(UPPER(MID(K12,3,1)))-48,0)</f>
        <v>2</v>
      </c>
      <c r="T12" s="31">
        <f aca="true" t="shared" si="6" ref="T12:T35">IF(K12&lt;&gt;0,CODE(UPPER(MID(K12,5,1)))-64.5,0)</f>
        <v>1.5</v>
      </c>
      <c r="U12" s="31">
        <f>R12*10+S12+T12/24-90</f>
        <v>2.0625</v>
      </c>
      <c r="V12" s="31">
        <f aca="true" t="shared" si="7" ref="V12:V35">IF(K12&lt;&gt;0,CODE(UPPER(MID(K12,2,1)))-65,0)</f>
        <v>14</v>
      </c>
      <c r="W12" s="31">
        <f aca="true" t="shared" si="8" ref="W12:W35">IF(K12&lt;&gt;0,CODE(UPPER(MID(K12,4,1)))-48,0)</f>
        <v>0</v>
      </c>
      <c r="X12" s="31">
        <f aca="true" t="shared" si="9" ref="X12:X35">IF(K12&lt;&gt;0,CODE(UPPER(MID(K12,6,1)))-64.5,0)</f>
        <v>13.5</v>
      </c>
      <c r="Y12" s="31">
        <f>V12*10+W12+X12/24-90</f>
        <v>50.5625</v>
      </c>
      <c r="Z12" s="31">
        <f>$Y$7/$AA$3</f>
        <v>0.8875723293272222</v>
      </c>
      <c r="AA12" s="31">
        <f>Y12/$AA$3</f>
        <v>0.8824817874957676</v>
      </c>
      <c r="AB12" s="31">
        <f>(U12-$U$7)*2/$AA$3</f>
        <v>0.007272202616363803</v>
      </c>
      <c r="AC12" s="31">
        <f>SIN(Z12)*SIN(AA12)+COS(Z12)*COS(AA12)*COS(AB12)</f>
        <v>0.9999764392406343</v>
      </c>
      <c r="AD12" s="31">
        <f>ATAN(SQRT(1-AC12*AC12)/AC12)</f>
        <v>0.006864525021371267</v>
      </c>
      <c r="AE12" s="31">
        <f>IF(AD12&lt;0,180/$AA$3+AD12,AD12)</f>
        <v>0.006864525021371267</v>
      </c>
      <c r="AF12" s="31">
        <f aca="true" t="shared" si="10" ref="AF12:AF35">IF(Z12&lt;&gt;AA12,90*(1+ABS(Z12-AA12)/(Z12-AA12)))</f>
        <v>180</v>
      </c>
      <c r="AG12" s="31">
        <f>IF(AB12&lt;&gt;0,90+$AA$3*ATAN((SIN(Z12)*AC12-SIN(AA12))/(SIN(AB12)*COS(Z12)^2)),AF12*1)</f>
        <v>137.8813255267567</v>
      </c>
      <c r="AH12" s="31">
        <f>IF(SIN(AB12)&lt;0,AG12+180,AG12*1)</f>
        <v>137.8813255267567</v>
      </c>
      <c r="AI12" s="31">
        <f>INT(AH12)</f>
        <v>137</v>
      </c>
      <c r="AJ12" s="31"/>
      <c r="AK12" s="31">
        <f>6365.11*AE12</f>
        <v>43.693456858780465</v>
      </c>
      <c r="AL12" s="31">
        <f aca="true" t="shared" si="11" ref="AL12:AL35">IF(AK12&lt;5,5,INT(AK12+0.5))</f>
        <v>44</v>
      </c>
      <c r="AM12" s="31"/>
      <c r="AN12" s="31"/>
      <c r="AO12" s="31">
        <f aca="true" t="shared" si="12" ref="AO12:AO35">Y12/$AA$3</f>
        <v>0.8824817874957676</v>
      </c>
      <c r="AP12" s="31">
        <f aca="true" t="shared" si="13" ref="AP12:AP35">$Y$7/$AA$3</f>
        <v>0.8875723293272222</v>
      </c>
      <c r="AQ12" s="31">
        <f aca="true" t="shared" si="14" ref="AQ12:AQ35">($U$7-U12)*2/$AA$3</f>
        <v>-0.007272202616363803</v>
      </c>
      <c r="AR12" s="31">
        <f aca="true" t="shared" si="15" ref="AR12:AR35">SIN(AO12)*SIN(AP12)+COS(AO12)*COS(AP12)*COS(AQ12)</f>
        <v>0.9999764392406343</v>
      </c>
      <c r="AS12" s="31">
        <f aca="true" t="shared" si="16" ref="AS12:AS35">ATAN(SQRT(1-AR12*AR12)/AR12)</f>
        <v>0.006864525021371267</v>
      </c>
      <c r="AT12" s="31">
        <f aca="true" t="shared" si="17" ref="AT12:AT35">IF(AD12&lt;0,180/$AA$3+AD12,AD12)</f>
        <v>0.006864525021371267</v>
      </c>
      <c r="AU12" s="31">
        <f aca="true" t="shared" si="18" ref="AU12:AU35">IF(AO12&lt;&gt;AP12,90*(1+ABS(AO12-AP12)/(AO12-AP12)))</f>
        <v>0</v>
      </c>
      <c r="AV12" s="31">
        <f aca="true" t="shared" si="19" ref="AV12:AV35">IF(AQ12&lt;&gt;0,90+$AA$3*ATAN((SIN(AO12)*AR12-SIN(AP12))/(SIN(AQ12)*COS(AO12)^2)),AU12*1)</f>
        <v>137.84912737240995</v>
      </c>
      <c r="AW12" s="31">
        <f aca="true" t="shared" si="20" ref="AW12:AW35">IF(SIN(AQ12)&lt;0,AV12+180,AV12*1)</f>
        <v>317.84912737240995</v>
      </c>
      <c r="AX12" s="31">
        <f aca="true" t="shared" si="21" ref="AX12:AX35">INT(AW12)</f>
        <v>317</v>
      </c>
    </row>
    <row r="13" spans="1:50" ht="16.5" customHeight="1">
      <c r="A13" s="39">
        <v>38150</v>
      </c>
      <c r="B13" s="40">
        <v>0.7861111111111111</v>
      </c>
      <c r="C13" s="41" t="s">
        <v>109</v>
      </c>
      <c r="D13" s="78" t="s">
        <v>25</v>
      </c>
      <c r="E13" s="79">
        <v>3</v>
      </c>
      <c r="F13" s="77" t="s">
        <v>1</v>
      </c>
      <c r="G13" s="89" t="s">
        <v>25</v>
      </c>
      <c r="H13" s="90">
        <v>0</v>
      </c>
      <c r="I13" s="86" t="s">
        <v>3</v>
      </c>
      <c r="J13" s="37" t="s">
        <v>134</v>
      </c>
      <c r="K13" s="42" t="s">
        <v>108</v>
      </c>
      <c r="L13" s="29" t="s">
        <v>110</v>
      </c>
      <c r="M13" s="61">
        <f t="shared" si="1"/>
        <v>74</v>
      </c>
      <c r="N13" s="44">
        <f t="shared" si="0"/>
        <v>148</v>
      </c>
      <c r="O13" s="56"/>
      <c r="P13" s="67">
        <f t="shared" si="2"/>
        <v>4</v>
      </c>
      <c r="Q13" s="71">
        <f t="shared" si="3"/>
        <v>184</v>
      </c>
      <c r="R13" s="31">
        <f t="shared" si="4"/>
        <v>9</v>
      </c>
      <c r="S13" s="31">
        <f t="shared" si="5"/>
        <v>1</v>
      </c>
      <c r="T13" s="31">
        <f t="shared" si="6"/>
        <v>21.5</v>
      </c>
      <c r="U13" s="31">
        <f aca="true" t="shared" si="22" ref="U13:U35">R13*10+S13+T13/24-90</f>
        <v>1.8958333333333286</v>
      </c>
      <c r="V13" s="31">
        <f t="shared" si="7"/>
        <v>14</v>
      </c>
      <c r="W13" s="31">
        <f t="shared" si="8"/>
        <v>1</v>
      </c>
      <c r="X13" s="31">
        <f t="shared" si="9"/>
        <v>12.5</v>
      </c>
      <c r="Y13" s="31">
        <f aca="true" t="shared" si="23" ref="Y13:Y35">V13*10+W13+X13/24-90</f>
        <v>51.52083333333334</v>
      </c>
      <c r="Z13" s="31">
        <f>$Y$7/$AA$3</f>
        <v>0.8875723293272222</v>
      </c>
      <c r="AA13" s="31">
        <f>Y13/$AA$3</f>
        <v>0.8992078535134048</v>
      </c>
      <c r="AB13" s="31">
        <f>(U13-$U$7)*2/$AA$3</f>
        <v>0.001454440523272463</v>
      </c>
      <c r="AC13" s="31">
        <f>SIN(Z13)*SIN(AA13)+COS(Z13)*COS(AA13)*COS(AB13)</f>
        <v>0.9999318925756508</v>
      </c>
      <c r="AD13" s="31">
        <f>ATAN(SQRT(1-AC13*AC13)/AC13)</f>
        <v>0.011671177958263465</v>
      </c>
      <c r="AE13" s="31">
        <f>IF(AD13&lt;0,180/$AA$3+AD13,AD13)</f>
        <v>0.011671177958263465</v>
      </c>
      <c r="AF13" s="31">
        <f t="shared" si="10"/>
        <v>0</v>
      </c>
      <c r="AG13" s="31">
        <f>IF(AB13&lt;&gt;0,90+$AA$3*ATAN((SIN(Z13)*AC13-SIN(AA13))/(SIN(AB13)*COS(Z13)^2)),AF13*1)</f>
        <v>4.511851260498673</v>
      </c>
      <c r="AH13" s="31">
        <f>IF(SIN(AB13)&lt;0,AG13+180,AG13*1)</f>
        <v>4.511851260498673</v>
      </c>
      <c r="AI13" s="31">
        <f>INT(AH13)</f>
        <v>4</v>
      </c>
      <c r="AJ13" s="31"/>
      <c r="AK13" s="31">
        <f>6365.11*AE13</f>
        <v>74.28833153392236</v>
      </c>
      <c r="AL13" s="31">
        <f t="shared" si="11"/>
        <v>74</v>
      </c>
      <c r="AM13" s="31"/>
      <c r="AN13" s="31"/>
      <c r="AO13" s="31">
        <f t="shared" si="12"/>
        <v>0.8992078535134048</v>
      </c>
      <c r="AP13" s="31">
        <f t="shared" si="13"/>
        <v>0.8875723293272222</v>
      </c>
      <c r="AQ13" s="31">
        <f t="shared" si="14"/>
        <v>-0.001454440523272463</v>
      </c>
      <c r="AR13" s="31">
        <f t="shared" si="15"/>
        <v>0.9999318925756508</v>
      </c>
      <c r="AS13" s="31">
        <f t="shared" si="16"/>
        <v>0.011671177958263465</v>
      </c>
      <c r="AT13" s="31">
        <f t="shared" si="17"/>
        <v>0.011671177958263465</v>
      </c>
      <c r="AU13" s="31">
        <f t="shared" si="18"/>
        <v>180</v>
      </c>
      <c r="AV13" s="31">
        <f t="shared" si="19"/>
        <v>4.447709046172378</v>
      </c>
      <c r="AW13" s="31">
        <f t="shared" si="20"/>
        <v>184.44770904617238</v>
      </c>
      <c r="AX13" s="31">
        <f t="shared" si="21"/>
        <v>184</v>
      </c>
    </row>
    <row r="14" spans="1:50" ht="17.25" customHeight="1">
      <c r="A14" s="39">
        <v>38150</v>
      </c>
      <c r="B14" s="40">
        <v>0.7916666666666666</v>
      </c>
      <c r="C14" s="41" t="s">
        <v>114</v>
      </c>
      <c r="D14" s="78" t="s">
        <v>25</v>
      </c>
      <c r="E14" s="79">
        <v>5</v>
      </c>
      <c r="F14" s="77" t="s">
        <v>1</v>
      </c>
      <c r="G14" s="89" t="s">
        <v>25</v>
      </c>
      <c r="H14" s="88">
        <v>5</v>
      </c>
      <c r="I14" s="86" t="s">
        <v>4</v>
      </c>
      <c r="J14" s="92" t="s">
        <v>117</v>
      </c>
      <c r="K14" s="42" t="s">
        <v>115</v>
      </c>
      <c r="L14" s="37"/>
      <c r="M14" s="61">
        <f t="shared" si="1"/>
        <v>15</v>
      </c>
      <c r="N14" s="44">
        <f t="shared" si="0"/>
        <v>60</v>
      </c>
      <c r="O14" s="56"/>
      <c r="P14" s="67">
        <f t="shared" si="2"/>
        <v>22</v>
      </c>
      <c r="Q14" s="71">
        <f t="shared" si="3"/>
        <v>202</v>
      </c>
      <c r="R14" s="31">
        <f t="shared" si="4"/>
        <v>9</v>
      </c>
      <c r="S14" s="31">
        <f t="shared" si="5"/>
        <v>1</v>
      </c>
      <c r="T14" s="31">
        <f t="shared" si="6"/>
        <v>21.5</v>
      </c>
      <c r="U14" s="31">
        <f t="shared" si="22"/>
        <v>1.8958333333333286</v>
      </c>
      <c r="V14" s="31">
        <f t="shared" si="7"/>
        <v>14</v>
      </c>
      <c r="W14" s="31">
        <f t="shared" si="8"/>
        <v>0</v>
      </c>
      <c r="X14" s="31">
        <f t="shared" si="9"/>
        <v>23.5</v>
      </c>
      <c r="Y14" s="31">
        <f t="shared" si="23"/>
        <v>50.97916666666666</v>
      </c>
      <c r="Z14" s="31">
        <f>$Y$7/$AA$3</f>
        <v>0.8875723293272222</v>
      </c>
      <c r="AA14" s="31">
        <f>Y14/$AA$3</f>
        <v>0.8897539901121314</v>
      </c>
      <c r="AB14" s="31">
        <f>(U14-$U$7)*2/$AA$3</f>
        <v>0.001454440523272463</v>
      </c>
      <c r="AC14" s="31">
        <f>SIN(Z14)*SIN(AA14)+COS(Z14)*COS(AA14)*COS(AB14)</f>
        <v>0.9999971997794961</v>
      </c>
      <c r="AD14" s="31">
        <f>ATAN(SQRT(1-AC14*AC14)/AC14)</f>
        <v>0.002366525643540432</v>
      </c>
      <c r="AE14" s="31">
        <f>IF(AD14&lt;0,180/$AA$3+AD14,AD14)</f>
        <v>0.002366525643540432</v>
      </c>
      <c r="AF14" s="31">
        <f t="shared" si="10"/>
        <v>0</v>
      </c>
      <c r="AG14" s="31">
        <f>IF(AB14&lt;&gt;0,90+$AA$3*ATAN((SIN(Z14)*AC14-SIN(AA14))/(SIN(AB14)*COS(Z14)^2)),AF14*1)</f>
        <v>22.819630772893746</v>
      </c>
      <c r="AH14" s="31">
        <f>IF(SIN(AB14)&lt;0,AG14+180,AG14*1)</f>
        <v>22.819630772893746</v>
      </c>
      <c r="AI14" s="31">
        <f>INT(AH14)</f>
        <v>22</v>
      </c>
      <c r="AJ14" s="31"/>
      <c r="AK14" s="31">
        <f>6365.11*AE14</f>
        <v>15.063196038955637</v>
      </c>
      <c r="AL14" s="31">
        <f t="shared" si="11"/>
        <v>15</v>
      </c>
      <c r="AM14" s="31"/>
      <c r="AN14" s="31"/>
      <c r="AO14" s="31">
        <f t="shared" si="12"/>
        <v>0.8897539901121314</v>
      </c>
      <c r="AP14" s="31">
        <f t="shared" si="13"/>
        <v>0.8875723293272222</v>
      </c>
      <c r="AQ14" s="31">
        <f t="shared" si="14"/>
        <v>-0.001454440523272463</v>
      </c>
      <c r="AR14" s="31">
        <f t="shared" si="15"/>
        <v>0.9999971997794961</v>
      </c>
      <c r="AS14" s="31">
        <f t="shared" si="16"/>
        <v>0.002366525643540432</v>
      </c>
      <c r="AT14" s="31">
        <f t="shared" si="17"/>
        <v>0.002366525643540432</v>
      </c>
      <c r="AU14" s="31">
        <f t="shared" si="18"/>
        <v>180</v>
      </c>
      <c r="AV14" s="31">
        <f t="shared" si="19"/>
        <v>22.774367661029004</v>
      </c>
      <c r="AW14" s="31">
        <f t="shared" si="20"/>
        <v>202.774367661029</v>
      </c>
      <c r="AX14" s="31">
        <f t="shared" si="21"/>
        <v>202</v>
      </c>
    </row>
    <row r="15" spans="1:50" ht="16.5" customHeight="1">
      <c r="A15" s="39">
        <v>38150</v>
      </c>
      <c r="B15" s="40">
        <v>0.7986111111111112</v>
      </c>
      <c r="C15" s="41" t="s">
        <v>112</v>
      </c>
      <c r="D15" s="78" t="s">
        <v>25</v>
      </c>
      <c r="E15" s="79">
        <v>5</v>
      </c>
      <c r="F15" s="77" t="s">
        <v>1</v>
      </c>
      <c r="G15" s="89" t="s">
        <v>25</v>
      </c>
      <c r="H15" s="90">
        <v>5</v>
      </c>
      <c r="I15" s="86" t="s">
        <v>5</v>
      </c>
      <c r="J15" s="37">
        <v>1945</v>
      </c>
      <c r="K15" s="42" t="s">
        <v>111</v>
      </c>
      <c r="L15" s="29" t="s">
        <v>113</v>
      </c>
      <c r="M15" s="61">
        <f t="shared" si="1"/>
        <v>18</v>
      </c>
      <c r="N15" s="44">
        <f t="shared" si="0"/>
        <v>72</v>
      </c>
      <c r="O15" s="56"/>
      <c r="P15" s="67">
        <f t="shared" si="2"/>
        <v>40</v>
      </c>
      <c r="Q15" s="71">
        <f t="shared" si="3"/>
        <v>220</v>
      </c>
      <c r="R15" s="31">
        <f t="shared" si="4"/>
        <v>9</v>
      </c>
      <c r="S15" s="31">
        <f t="shared" si="5"/>
        <v>1</v>
      </c>
      <c r="T15" s="31">
        <f t="shared" si="6"/>
        <v>22.5</v>
      </c>
      <c r="U15" s="31">
        <f t="shared" si="22"/>
        <v>1.9375</v>
      </c>
      <c r="V15" s="31">
        <f t="shared" si="7"/>
        <v>14</v>
      </c>
      <c r="W15" s="31">
        <f t="shared" si="8"/>
        <v>0</v>
      </c>
      <c r="X15" s="31">
        <f t="shared" si="9"/>
        <v>23.5</v>
      </c>
      <c r="Y15" s="31">
        <f t="shared" si="23"/>
        <v>50.97916666666666</v>
      </c>
      <c r="Z15" s="31">
        <f aca="true" t="shared" si="24" ref="Z15:Z35">$Y$7/$AA$3</f>
        <v>0.8875723293272222</v>
      </c>
      <c r="AA15" s="31">
        <f aca="true" t="shared" si="25" ref="AA15:AA35">Y15/$AA$3</f>
        <v>0.8897539901121314</v>
      </c>
      <c r="AB15" s="31">
        <f aca="true" t="shared" si="26" ref="AB15:AB35">(U15-$U$7)*2/$AA$3</f>
        <v>0.002908881046545422</v>
      </c>
      <c r="AC15" s="31">
        <f aca="true" t="shared" si="27" ref="AC15:AC35">SIN(Z15)*SIN(AA15)+COS(Z15)*COS(AA15)*COS(AB15)</f>
        <v>0.9999959385817123</v>
      </c>
      <c r="AD15" s="31">
        <f aca="true" t="shared" si="28" ref="AD15:AD35">ATAN(SQRT(1-AC15*AC15)/AC15)</f>
        <v>0.0028500600123019418</v>
      </c>
      <c r="AE15" s="31">
        <f aca="true" t="shared" si="29" ref="AE15:AE35">IF(AD15&lt;0,180/$AA$3+AD15,AD15)</f>
        <v>0.0028500600123019418</v>
      </c>
      <c r="AF15" s="31">
        <f t="shared" si="10"/>
        <v>0</v>
      </c>
      <c r="AG15" s="31">
        <f aca="true" t="shared" si="30" ref="AG15:AG35">IF(AB15&lt;&gt;0,90+$AA$3*ATAN((SIN(Z15)*AC15-SIN(AA15))/(SIN(AB15)*COS(Z15)^2)),AF15*1)</f>
        <v>40.06153737762801</v>
      </c>
      <c r="AH15" s="31">
        <f aca="true" t="shared" si="31" ref="AH15:AH35">IF(SIN(AB15)&lt;0,AG15+180,AG15*1)</f>
        <v>40.06153737762801</v>
      </c>
      <c r="AI15" s="31">
        <f aca="true" t="shared" si="32" ref="AI15:AI35">INT(AH15)</f>
        <v>40</v>
      </c>
      <c r="AJ15" s="31"/>
      <c r="AK15" s="31">
        <f aca="true" t="shared" si="33" ref="AK15:AK35">6365.11*AE15</f>
        <v>18.140945484903213</v>
      </c>
      <c r="AL15" s="31">
        <f t="shared" si="11"/>
        <v>18</v>
      </c>
      <c r="AM15" s="31"/>
      <c r="AN15" s="31"/>
      <c r="AO15" s="31">
        <f t="shared" si="12"/>
        <v>0.8897539901121314</v>
      </c>
      <c r="AP15" s="31">
        <f t="shared" si="13"/>
        <v>0.8875723293272222</v>
      </c>
      <c r="AQ15" s="31">
        <f t="shared" si="14"/>
        <v>-0.002908881046545422</v>
      </c>
      <c r="AR15" s="31">
        <f t="shared" si="15"/>
        <v>0.9999959385817123</v>
      </c>
      <c r="AS15" s="31">
        <f t="shared" si="16"/>
        <v>0.0028500600123019418</v>
      </c>
      <c r="AT15" s="31">
        <f t="shared" si="17"/>
        <v>0.0028500600123019418</v>
      </c>
      <c r="AU15" s="31">
        <f t="shared" si="18"/>
        <v>180</v>
      </c>
      <c r="AV15" s="31">
        <f t="shared" si="19"/>
        <v>40.03929656728306</v>
      </c>
      <c r="AW15" s="31">
        <f t="shared" si="20"/>
        <v>220.03929656728306</v>
      </c>
      <c r="AX15" s="31">
        <f t="shared" si="21"/>
        <v>220</v>
      </c>
    </row>
    <row r="16" spans="1:50" ht="16.5" customHeight="1">
      <c r="A16" s="39">
        <v>38150</v>
      </c>
      <c r="B16" s="40">
        <v>0.8159722222222222</v>
      </c>
      <c r="C16" s="41" t="s">
        <v>116</v>
      </c>
      <c r="D16" s="78" t="s">
        <v>25</v>
      </c>
      <c r="E16" s="79">
        <v>2</v>
      </c>
      <c r="F16" s="77" t="s">
        <v>3</v>
      </c>
      <c r="G16" s="89" t="s">
        <v>25</v>
      </c>
      <c r="H16" s="88">
        <v>2</v>
      </c>
      <c r="I16" s="86" t="s">
        <v>6</v>
      </c>
      <c r="J16" s="37">
        <v>8142</v>
      </c>
      <c r="K16" s="42" t="s">
        <v>64</v>
      </c>
      <c r="L16" s="29" t="s">
        <v>135</v>
      </c>
      <c r="M16" s="61">
        <f t="shared" si="1"/>
        <v>94</v>
      </c>
      <c r="N16" s="44">
        <f t="shared" si="0"/>
        <v>376</v>
      </c>
      <c r="O16" s="56"/>
      <c r="P16" s="67">
        <f t="shared" si="2"/>
        <v>83</v>
      </c>
      <c r="Q16" s="71">
        <f t="shared" si="3"/>
        <v>264</v>
      </c>
      <c r="R16" s="31">
        <f t="shared" si="4"/>
        <v>9</v>
      </c>
      <c r="S16" s="31">
        <f t="shared" si="5"/>
        <v>2</v>
      </c>
      <c r="T16" s="31">
        <f t="shared" si="6"/>
        <v>12.5</v>
      </c>
      <c r="U16" s="31">
        <f t="shared" si="22"/>
        <v>2.5208333333333286</v>
      </c>
      <c r="V16" s="31">
        <f t="shared" si="7"/>
        <v>14</v>
      </c>
      <c r="W16" s="31">
        <f t="shared" si="8"/>
        <v>0</v>
      </c>
      <c r="X16" s="31">
        <f t="shared" si="9"/>
        <v>22.5</v>
      </c>
      <c r="Y16" s="31">
        <f t="shared" si="23"/>
        <v>50.9375</v>
      </c>
      <c r="Z16" s="31">
        <f t="shared" si="24"/>
        <v>0.8875723293272222</v>
      </c>
      <c r="AA16" s="31">
        <f t="shared" si="25"/>
        <v>0.8890267698504951</v>
      </c>
      <c r="AB16" s="31">
        <f t="shared" si="26"/>
        <v>0.023271048372364368</v>
      </c>
      <c r="AC16" s="31">
        <f t="shared" si="27"/>
        <v>0.9998912283079061</v>
      </c>
      <c r="AD16" s="31">
        <f t="shared" si="28"/>
        <v>0.014749485688069091</v>
      </c>
      <c r="AE16" s="31">
        <f t="shared" si="29"/>
        <v>0.014749485688069091</v>
      </c>
      <c r="AF16" s="31">
        <f t="shared" si="10"/>
        <v>0</v>
      </c>
      <c r="AG16" s="31">
        <f t="shared" si="30"/>
        <v>83.83483577590347</v>
      </c>
      <c r="AH16" s="31">
        <f t="shared" si="31"/>
        <v>83.83483577590347</v>
      </c>
      <c r="AI16" s="31">
        <f t="shared" si="32"/>
        <v>83</v>
      </c>
      <c r="AJ16" s="31"/>
      <c r="AK16" s="31">
        <f t="shared" si="33"/>
        <v>93.88209884798545</v>
      </c>
      <c r="AL16" s="31">
        <f t="shared" si="11"/>
        <v>94</v>
      </c>
      <c r="AM16" s="31"/>
      <c r="AN16" s="31"/>
      <c r="AO16" s="31">
        <f t="shared" si="12"/>
        <v>0.8890267698504951</v>
      </c>
      <c r="AP16" s="31">
        <f t="shared" si="13"/>
        <v>0.8875723293272222</v>
      </c>
      <c r="AQ16" s="31">
        <f t="shared" si="14"/>
        <v>-0.023271048372364368</v>
      </c>
      <c r="AR16" s="31">
        <f t="shared" si="15"/>
        <v>0.9998912283079061</v>
      </c>
      <c r="AS16" s="31">
        <f t="shared" si="16"/>
        <v>0.014749485688069091</v>
      </c>
      <c r="AT16" s="31">
        <f t="shared" si="17"/>
        <v>0.014749485688069091</v>
      </c>
      <c r="AU16" s="31">
        <f t="shared" si="18"/>
        <v>180</v>
      </c>
      <c r="AV16" s="31">
        <f t="shared" si="19"/>
        <v>84.8494060971792</v>
      </c>
      <c r="AW16" s="31">
        <f t="shared" si="20"/>
        <v>264.8494060971792</v>
      </c>
      <c r="AX16" s="31">
        <f t="shared" si="21"/>
        <v>264</v>
      </c>
    </row>
    <row r="17" spans="1:50" ht="16.5" customHeight="1">
      <c r="A17" s="39">
        <v>38150</v>
      </c>
      <c r="B17" s="40">
        <v>0.8229166666666666</v>
      </c>
      <c r="C17" s="41" t="s">
        <v>119</v>
      </c>
      <c r="D17" s="78" t="s">
        <v>25</v>
      </c>
      <c r="E17" s="79">
        <v>5</v>
      </c>
      <c r="F17" s="77" t="s">
        <v>3</v>
      </c>
      <c r="G17" s="89" t="s">
        <v>25</v>
      </c>
      <c r="H17" s="90">
        <v>5</v>
      </c>
      <c r="I17" s="86" t="s">
        <v>7</v>
      </c>
      <c r="J17" s="37">
        <v>4286</v>
      </c>
      <c r="K17" s="42" t="s">
        <v>118</v>
      </c>
      <c r="L17" s="29" t="s">
        <v>110</v>
      </c>
      <c r="M17" s="61">
        <f t="shared" si="1"/>
        <v>72</v>
      </c>
      <c r="N17" s="44">
        <f t="shared" si="0"/>
        <v>288</v>
      </c>
      <c r="O17" s="56"/>
      <c r="P17" s="67">
        <f t="shared" si="2"/>
        <v>116</v>
      </c>
      <c r="Q17" s="71">
        <f t="shared" si="3"/>
        <v>296</v>
      </c>
      <c r="R17" s="31">
        <f t="shared" si="4"/>
        <v>9</v>
      </c>
      <c r="S17" s="31">
        <f t="shared" si="5"/>
        <v>2</v>
      </c>
      <c r="T17" s="31">
        <f t="shared" si="6"/>
        <v>7.5</v>
      </c>
      <c r="U17" s="31">
        <f t="shared" si="22"/>
        <v>2.3125</v>
      </c>
      <c r="V17" s="31">
        <f t="shared" si="7"/>
        <v>14</v>
      </c>
      <c r="W17" s="31">
        <f t="shared" si="8"/>
        <v>0</v>
      </c>
      <c r="X17" s="31">
        <f t="shared" si="9"/>
        <v>13.5</v>
      </c>
      <c r="Y17" s="31">
        <f t="shared" si="23"/>
        <v>50.5625</v>
      </c>
      <c r="Z17" s="31">
        <f t="shared" si="24"/>
        <v>0.8875723293272222</v>
      </c>
      <c r="AA17" s="31">
        <f t="shared" si="25"/>
        <v>0.8824817874957676</v>
      </c>
      <c r="AB17" s="31">
        <f t="shared" si="26"/>
        <v>0.015998845756000565</v>
      </c>
      <c r="AC17" s="31">
        <f t="shared" si="27"/>
        <v>0.9999357208287591</v>
      </c>
      <c r="AD17" s="31">
        <f t="shared" si="28"/>
        <v>0.01133841786916941</v>
      </c>
      <c r="AE17" s="31">
        <f t="shared" si="29"/>
        <v>0.01133841786916941</v>
      </c>
      <c r="AF17" s="31">
        <f t="shared" si="10"/>
        <v>180</v>
      </c>
      <c r="AG17" s="31">
        <f t="shared" si="30"/>
        <v>116.46366088397946</v>
      </c>
      <c r="AH17" s="31">
        <f t="shared" si="31"/>
        <v>116.46366088397946</v>
      </c>
      <c r="AI17" s="31">
        <f t="shared" si="32"/>
        <v>116</v>
      </c>
      <c r="AJ17" s="31"/>
      <c r="AK17" s="31">
        <f t="shared" si="33"/>
        <v>72.1702769632289</v>
      </c>
      <c r="AL17" s="31">
        <f t="shared" si="11"/>
        <v>72</v>
      </c>
      <c r="AM17" s="31"/>
      <c r="AN17" s="31"/>
      <c r="AO17" s="31">
        <f t="shared" si="12"/>
        <v>0.8824817874957676</v>
      </c>
      <c r="AP17" s="31">
        <f t="shared" si="13"/>
        <v>0.8875723293272222</v>
      </c>
      <c r="AQ17" s="31">
        <f t="shared" si="14"/>
        <v>-0.015998845756000565</v>
      </c>
      <c r="AR17" s="31">
        <f t="shared" si="15"/>
        <v>0.9999357208287591</v>
      </c>
      <c r="AS17" s="31">
        <f t="shared" si="16"/>
        <v>0.01133841786916941</v>
      </c>
      <c r="AT17" s="31">
        <f t="shared" si="17"/>
        <v>0.01133841786916941</v>
      </c>
      <c r="AU17" s="31">
        <f t="shared" si="18"/>
        <v>0</v>
      </c>
      <c r="AV17" s="31">
        <f t="shared" si="19"/>
        <v>116.88713253539414</v>
      </c>
      <c r="AW17" s="31">
        <f t="shared" si="20"/>
        <v>296.88713253539413</v>
      </c>
      <c r="AX17" s="31">
        <f t="shared" si="21"/>
        <v>296</v>
      </c>
    </row>
    <row r="18" spans="1:50" ht="16.5" customHeight="1">
      <c r="A18" s="39">
        <v>38150</v>
      </c>
      <c r="B18" s="40">
        <v>0.8402777777777778</v>
      </c>
      <c r="C18" s="41" t="s">
        <v>128</v>
      </c>
      <c r="D18" s="78" t="s">
        <v>25</v>
      </c>
      <c r="E18" s="79">
        <v>5</v>
      </c>
      <c r="F18" s="77" t="s">
        <v>1</v>
      </c>
      <c r="G18" s="89" t="s">
        <v>25</v>
      </c>
      <c r="H18" s="88">
        <v>5</v>
      </c>
      <c r="I18" s="86" t="s">
        <v>8</v>
      </c>
      <c r="J18" s="37">
        <v>1357</v>
      </c>
      <c r="K18" s="42" t="s">
        <v>120</v>
      </c>
      <c r="L18" s="29" t="s">
        <v>121</v>
      </c>
      <c r="M18" s="61">
        <f t="shared" si="1"/>
        <v>50</v>
      </c>
      <c r="N18" s="44">
        <f t="shared" si="0"/>
        <v>200</v>
      </c>
      <c r="O18" s="56"/>
      <c r="P18" s="67">
        <f t="shared" si="2"/>
        <v>248</v>
      </c>
      <c r="Q18" s="71">
        <f t="shared" si="3"/>
        <v>68</v>
      </c>
      <c r="R18" s="31">
        <f t="shared" si="4"/>
        <v>9</v>
      </c>
      <c r="S18" s="31">
        <f t="shared" si="5"/>
        <v>1</v>
      </c>
      <c r="T18" s="31">
        <f t="shared" si="6"/>
        <v>12.5</v>
      </c>
      <c r="U18" s="31">
        <f t="shared" si="22"/>
        <v>1.5208333333333286</v>
      </c>
      <c r="V18" s="31">
        <f t="shared" si="7"/>
        <v>14</v>
      </c>
      <c r="W18" s="31">
        <f t="shared" si="8"/>
        <v>0</v>
      </c>
      <c r="X18" s="31">
        <f t="shared" si="9"/>
        <v>16.5</v>
      </c>
      <c r="Y18" s="31">
        <f t="shared" si="23"/>
        <v>50.6875</v>
      </c>
      <c r="Z18" s="31">
        <f t="shared" si="24"/>
        <v>0.8875723293272222</v>
      </c>
      <c r="AA18" s="31">
        <f t="shared" si="25"/>
        <v>0.8846634482806768</v>
      </c>
      <c r="AB18" s="31">
        <f t="shared" si="26"/>
        <v>-0.01163552418618268</v>
      </c>
      <c r="AC18" s="31">
        <f t="shared" si="27"/>
        <v>0.9999686952762632</v>
      </c>
      <c r="AD18" s="31">
        <f t="shared" si="28"/>
        <v>0.00791263383066665</v>
      </c>
      <c r="AE18" s="31">
        <f t="shared" si="29"/>
        <v>0.00791263383066665</v>
      </c>
      <c r="AF18" s="31">
        <f t="shared" si="10"/>
        <v>180</v>
      </c>
      <c r="AG18" s="31">
        <f t="shared" si="30"/>
        <v>68.62011384294803</v>
      </c>
      <c r="AH18" s="31">
        <f t="shared" si="31"/>
        <v>248.62011384294803</v>
      </c>
      <c r="AI18" s="31">
        <f t="shared" si="32"/>
        <v>248</v>
      </c>
      <c r="AJ18" s="31"/>
      <c r="AK18" s="31">
        <f t="shared" si="33"/>
        <v>50.3647847219146</v>
      </c>
      <c r="AL18" s="31">
        <f t="shared" si="11"/>
        <v>50</v>
      </c>
      <c r="AM18" s="31"/>
      <c r="AN18" s="31"/>
      <c r="AO18" s="31">
        <f t="shared" si="12"/>
        <v>0.8846634482806768</v>
      </c>
      <c r="AP18" s="31">
        <f t="shared" si="13"/>
        <v>0.8875723293272222</v>
      </c>
      <c r="AQ18" s="31">
        <f t="shared" si="14"/>
        <v>0.01163552418618268</v>
      </c>
      <c r="AR18" s="31">
        <f t="shared" si="15"/>
        <v>0.9999686952762632</v>
      </c>
      <c r="AS18" s="31">
        <f t="shared" si="16"/>
        <v>0.00791263383066665</v>
      </c>
      <c r="AT18" s="31">
        <f t="shared" si="17"/>
        <v>0.00791263383066665</v>
      </c>
      <c r="AU18" s="31">
        <f t="shared" si="18"/>
        <v>0</v>
      </c>
      <c r="AV18" s="31">
        <f t="shared" si="19"/>
        <v>68.24327286401848</v>
      </c>
      <c r="AW18" s="31">
        <f t="shared" si="20"/>
        <v>68.24327286401848</v>
      </c>
      <c r="AX18" s="31">
        <f t="shared" si="21"/>
        <v>68</v>
      </c>
    </row>
    <row r="19" spans="1:50" ht="16.5" customHeight="1">
      <c r="A19" s="39">
        <v>38150</v>
      </c>
      <c r="B19" s="40">
        <v>0.8541666666666666</v>
      </c>
      <c r="C19" s="41" t="s">
        <v>123</v>
      </c>
      <c r="D19" s="78" t="s">
        <v>25</v>
      </c>
      <c r="E19" s="79">
        <v>5</v>
      </c>
      <c r="F19" s="77" t="s">
        <v>1</v>
      </c>
      <c r="G19" s="89" t="s">
        <v>25</v>
      </c>
      <c r="H19" s="90">
        <v>5</v>
      </c>
      <c r="I19" s="86" t="s">
        <v>9</v>
      </c>
      <c r="J19" s="37">
        <v>1234</v>
      </c>
      <c r="K19" s="42" t="s">
        <v>122</v>
      </c>
      <c r="L19" s="29" t="s">
        <v>124</v>
      </c>
      <c r="M19" s="61">
        <f t="shared" si="1"/>
        <v>35</v>
      </c>
      <c r="N19" s="44">
        <f t="shared" si="0"/>
        <v>140</v>
      </c>
      <c r="O19" s="56"/>
      <c r="P19" s="67">
        <f t="shared" si="2"/>
        <v>89</v>
      </c>
      <c r="Q19" s="71">
        <f t="shared" si="3"/>
        <v>270</v>
      </c>
      <c r="R19" s="31">
        <f t="shared" si="4"/>
        <v>9</v>
      </c>
      <c r="S19" s="31">
        <f t="shared" si="5"/>
        <v>2</v>
      </c>
      <c r="T19" s="31">
        <f t="shared" si="6"/>
        <v>2.5</v>
      </c>
      <c r="U19" s="31">
        <f t="shared" si="22"/>
        <v>2.1041666666666714</v>
      </c>
      <c r="V19" s="31">
        <f t="shared" si="7"/>
        <v>14</v>
      </c>
      <c r="W19" s="31">
        <f t="shared" si="8"/>
        <v>0</v>
      </c>
      <c r="X19" s="31">
        <f t="shared" si="9"/>
        <v>20.5</v>
      </c>
      <c r="Y19" s="31">
        <f t="shared" si="23"/>
        <v>50.85416666666666</v>
      </c>
      <c r="Z19" s="31">
        <f t="shared" si="24"/>
        <v>0.8875723293272222</v>
      </c>
      <c r="AA19" s="31">
        <f t="shared" si="25"/>
        <v>0.8875723293272222</v>
      </c>
      <c r="AB19" s="31">
        <f t="shared" si="26"/>
        <v>0.008726643139636761</v>
      </c>
      <c r="AC19" s="31">
        <f t="shared" si="27"/>
        <v>0.9999848250019804</v>
      </c>
      <c r="AD19" s="31">
        <f t="shared" si="28"/>
        <v>0.005509090015576764</v>
      </c>
      <c r="AE19" s="31">
        <f t="shared" si="29"/>
        <v>0.005509090015576764</v>
      </c>
      <c r="AF19" s="31" t="b">
        <f t="shared" si="10"/>
        <v>0</v>
      </c>
      <c r="AG19" s="31">
        <f t="shared" si="30"/>
        <v>89.80611414611987</v>
      </c>
      <c r="AH19" s="31">
        <f t="shared" si="31"/>
        <v>89.80611414611987</v>
      </c>
      <c r="AI19" s="31">
        <f t="shared" si="32"/>
        <v>89</v>
      </c>
      <c r="AJ19" s="31"/>
      <c r="AK19" s="31">
        <f t="shared" si="33"/>
        <v>35.06596394904781</v>
      </c>
      <c r="AL19" s="31">
        <f t="shared" si="11"/>
        <v>35</v>
      </c>
      <c r="AM19" s="31"/>
      <c r="AN19" s="31"/>
      <c r="AO19" s="31">
        <f t="shared" si="12"/>
        <v>0.8875723293272222</v>
      </c>
      <c r="AP19" s="31">
        <f t="shared" si="13"/>
        <v>0.8875723293272222</v>
      </c>
      <c r="AQ19" s="31">
        <f t="shared" si="14"/>
        <v>-0.008726643139636761</v>
      </c>
      <c r="AR19" s="31">
        <f t="shared" si="15"/>
        <v>0.9999848250019804</v>
      </c>
      <c r="AS19" s="31">
        <f t="shared" si="16"/>
        <v>0.005509090015576764</v>
      </c>
      <c r="AT19" s="31">
        <f t="shared" si="17"/>
        <v>0.005509090015576764</v>
      </c>
      <c r="AU19" s="31" t="b">
        <f t="shared" si="18"/>
        <v>0</v>
      </c>
      <c r="AV19" s="31">
        <f t="shared" si="19"/>
        <v>90.19388585388013</v>
      </c>
      <c r="AW19" s="31">
        <f t="shared" si="20"/>
        <v>270.19388585388015</v>
      </c>
      <c r="AX19" s="31">
        <f t="shared" si="21"/>
        <v>270</v>
      </c>
    </row>
    <row r="20" spans="1:50" ht="16.5" customHeight="1">
      <c r="A20" s="39">
        <v>38150</v>
      </c>
      <c r="B20" s="40">
        <v>0.8680555555555555</v>
      </c>
      <c r="C20" s="41" t="s">
        <v>126</v>
      </c>
      <c r="D20" s="78" t="s">
        <v>25</v>
      </c>
      <c r="E20" s="79">
        <v>3</v>
      </c>
      <c r="F20" s="77" t="s">
        <v>3</v>
      </c>
      <c r="G20" s="89" t="s">
        <v>25</v>
      </c>
      <c r="H20" s="88">
        <v>3</v>
      </c>
      <c r="I20" s="86" t="s">
        <v>10</v>
      </c>
      <c r="J20" s="37">
        <v>4142</v>
      </c>
      <c r="K20" s="42" t="s">
        <v>125</v>
      </c>
      <c r="L20" s="29" t="s">
        <v>127</v>
      </c>
      <c r="M20" s="62">
        <f t="shared" si="1"/>
        <v>67</v>
      </c>
      <c r="N20" s="44">
        <f t="shared" si="0"/>
        <v>268</v>
      </c>
      <c r="O20" s="56"/>
      <c r="P20" s="67">
        <f t="shared" si="2"/>
        <v>60</v>
      </c>
      <c r="Q20" s="71">
        <f t="shared" si="3"/>
        <v>241</v>
      </c>
      <c r="R20" s="31">
        <f t="shared" si="4"/>
        <v>9</v>
      </c>
      <c r="S20" s="31">
        <f t="shared" si="5"/>
        <v>2</v>
      </c>
      <c r="T20" s="31">
        <f t="shared" si="6"/>
        <v>6.5</v>
      </c>
      <c r="U20" s="31">
        <f t="shared" si="22"/>
        <v>2.2708333333333286</v>
      </c>
      <c r="V20" s="31">
        <f t="shared" si="7"/>
        <v>14</v>
      </c>
      <c r="W20" s="31">
        <f t="shared" si="8"/>
        <v>1</v>
      </c>
      <c r="X20" s="31">
        <f t="shared" si="9"/>
        <v>3.5</v>
      </c>
      <c r="Y20" s="31">
        <f t="shared" si="23"/>
        <v>51.14583333333334</v>
      </c>
      <c r="Z20" s="31">
        <f t="shared" si="24"/>
        <v>0.8875723293272222</v>
      </c>
      <c r="AA20" s="31">
        <f t="shared" si="25"/>
        <v>0.8926628711586773</v>
      </c>
      <c r="AB20" s="31">
        <f t="shared" si="26"/>
        <v>0.014544405232727606</v>
      </c>
      <c r="AC20" s="31">
        <f t="shared" si="27"/>
        <v>0.9999451550751336</v>
      </c>
      <c r="AD20" s="31">
        <f t="shared" si="28"/>
        <v>0.010473340078635462</v>
      </c>
      <c r="AE20" s="31">
        <f t="shared" si="29"/>
        <v>0.010473340078635462</v>
      </c>
      <c r="AF20" s="31">
        <f t="shared" si="10"/>
        <v>0</v>
      </c>
      <c r="AG20" s="31">
        <f t="shared" si="30"/>
        <v>60.749580708592376</v>
      </c>
      <c r="AH20" s="31">
        <f t="shared" si="31"/>
        <v>60.749580708592376</v>
      </c>
      <c r="AI20" s="31">
        <f t="shared" si="32"/>
        <v>60</v>
      </c>
      <c r="AJ20" s="31"/>
      <c r="AK20" s="31">
        <f t="shared" si="33"/>
        <v>66.66396166792336</v>
      </c>
      <c r="AL20" s="31">
        <f t="shared" si="11"/>
        <v>67</v>
      </c>
      <c r="AM20" s="31"/>
      <c r="AN20" s="31"/>
      <c r="AO20" s="31">
        <f t="shared" si="12"/>
        <v>0.8926628711586773</v>
      </c>
      <c r="AP20" s="31">
        <f t="shared" si="13"/>
        <v>0.8875723293272222</v>
      </c>
      <c r="AQ20" s="31">
        <f t="shared" si="14"/>
        <v>-0.014544405232727606</v>
      </c>
      <c r="AR20" s="31">
        <f t="shared" si="15"/>
        <v>0.9999451550751336</v>
      </c>
      <c r="AS20" s="31">
        <f t="shared" si="16"/>
        <v>0.010473340078635462</v>
      </c>
      <c r="AT20" s="31">
        <f t="shared" si="17"/>
        <v>0.010473340078635462</v>
      </c>
      <c r="AU20" s="31">
        <f t="shared" si="18"/>
        <v>180</v>
      </c>
      <c r="AV20" s="31">
        <f t="shared" si="19"/>
        <v>61.09123908188338</v>
      </c>
      <c r="AW20" s="31">
        <f t="shared" si="20"/>
        <v>241.09123908188337</v>
      </c>
      <c r="AX20" s="31">
        <f t="shared" si="21"/>
        <v>241</v>
      </c>
    </row>
    <row r="21" spans="1:50" ht="17.25" customHeight="1">
      <c r="A21" s="39">
        <v>38150</v>
      </c>
      <c r="B21" s="40">
        <v>0.9305555555555555</v>
      </c>
      <c r="C21" s="41" t="s">
        <v>130</v>
      </c>
      <c r="D21" s="78" t="s">
        <v>25</v>
      </c>
      <c r="E21" s="79">
        <v>4</v>
      </c>
      <c r="F21" s="77" t="s">
        <v>1</v>
      </c>
      <c r="G21" s="89" t="s">
        <v>25</v>
      </c>
      <c r="H21" s="90">
        <v>0</v>
      </c>
      <c r="I21" s="86" t="s">
        <v>11</v>
      </c>
      <c r="J21" s="37" t="s">
        <v>134</v>
      </c>
      <c r="K21" s="42" t="s">
        <v>129</v>
      </c>
      <c r="L21" s="29" t="s">
        <v>161</v>
      </c>
      <c r="M21" s="62">
        <f t="shared" si="1"/>
        <v>60</v>
      </c>
      <c r="N21" s="44">
        <f t="shared" si="0"/>
        <v>120</v>
      </c>
      <c r="O21" s="56"/>
      <c r="P21" s="67">
        <f t="shared" si="2"/>
        <v>51</v>
      </c>
      <c r="Q21" s="71">
        <f t="shared" si="3"/>
        <v>231</v>
      </c>
      <c r="R21" s="31">
        <f t="shared" si="4"/>
        <v>9</v>
      </c>
      <c r="S21" s="31">
        <f t="shared" si="5"/>
        <v>2</v>
      </c>
      <c r="T21" s="31">
        <f t="shared" si="6"/>
        <v>4.5</v>
      </c>
      <c r="U21" s="31">
        <f t="shared" si="22"/>
        <v>2.1875</v>
      </c>
      <c r="V21" s="31">
        <f t="shared" si="7"/>
        <v>14</v>
      </c>
      <c r="W21" s="31">
        <f t="shared" si="8"/>
        <v>1</v>
      </c>
      <c r="X21" s="31">
        <f t="shared" si="9"/>
        <v>4.5</v>
      </c>
      <c r="Y21" s="31">
        <f t="shared" si="23"/>
        <v>51.1875</v>
      </c>
      <c r="Z21" s="31">
        <f t="shared" si="24"/>
        <v>0.8875723293272222</v>
      </c>
      <c r="AA21" s="31">
        <f t="shared" si="25"/>
        <v>0.8933900914203136</v>
      </c>
      <c r="AB21" s="31">
        <f t="shared" si="26"/>
        <v>0.011635524186182184</v>
      </c>
      <c r="AC21" s="31">
        <f t="shared" si="27"/>
        <v>0.9999562924950564</v>
      </c>
      <c r="AD21" s="31">
        <f t="shared" si="28"/>
        <v>0.009349633504940546</v>
      </c>
      <c r="AE21" s="31">
        <f t="shared" si="29"/>
        <v>0.009349633504940546</v>
      </c>
      <c r="AF21" s="31">
        <f t="shared" si="10"/>
        <v>0</v>
      </c>
      <c r="AG21" s="31">
        <f t="shared" si="30"/>
        <v>51.462183139248175</v>
      </c>
      <c r="AH21" s="31">
        <f t="shared" si="31"/>
        <v>51.462183139248175</v>
      </c>
      <c r="AI21" s="31">
        <f t="shared" si="32"/>
        <v>51</v>
      </c>
      <c r="AJ21" s="31"/>
      <c r="AK21" s="31">
        <f t="shared" si="33"/>
        <v>59.51144571863211</v>
      </c>
      <c r="AL21" s="31">
        <f t="shared" si="11"/>
        <v>60</v>
      </c>
      <c r="AM21" s="31"/>
      <c r="AN21" s="31"/>
      <c r="AO21" s="31">
        <f t="shared" si="12"/>
        <v>0.8933900914203136</v>
      </c>
      <c r="AP21" s="31">
        <f t="shared" si="13"/>
        <v>0.8875723293272222</v>
      </c>
      <c r="AQ21" s="31">
        <f t="shared" si="14"/>
        <v>-0.011635524186182184</v>
      </c>
      <c r="AR21" s="31">
        <f t="shared" si="15"/>
        <v>0.9999562924950564</v>
      </c>
      <c r="AS21" s="31">
        <f t="shared" si="16"/>
        <v>0.009349633504940546</v>
      </c>
      <c r="AT21" s="31">
        <f t="shared" si="17"/>
        <v>0.009349633504940546</v>
      </c>
      <c r="AU21" s="31">
        <f t="shared" si="18"/>
        <v>180</v>
      </c>
      <c r="AV21" s="31">
        <f t="shared" si="19"/>
        <v>51.579127756074044</v>
      </c>
      <c r="AW21" s="31">
        <f t="shared" si="20"/>
        <v>231.57912775607406</v>
      </c>
      <c r="AX21" s="31">
        <f t="shared" si="21"/>
        <v>231</v>
      </c>
    </row>
    <row r="22" spans="1:50" ht="16.5" customHeight="1">
      <c r="A22" s="39">
        <v>38150</v>
      </c>
      <c r="B22" s="40">
        <v>0.9409722222222222</v>
      </c>
      <c r="C22" s="41" t="s">
        <v>132</v>
      </c>
      <c r="D22" s="78" t="s">
        <v>25</v>
      </c>
      <c r="E22" s="79">
        <v>5</v>
      </c>
      <c r="F22" s="77" t="s">
        <v>3</v>
      </c>
      <c r="G22" s="89" t="s">
        <v>25</v>
      </c>
      <c r="H22" s="88">
        <v>3</v>
      </c>
      <c r="I22" s="86" t="s">
        <v>12</v>
      </c>
      <c r="J22" s="37">
        <v>7041</v>
      </c>
      <c r="K22" s="42" t="s">
        <v>131</v>
      </c>
      <c r="L22" s="29" t="s">
        <v>133</v>
      </c>
      <c r="M22" s="62">
        <f t="shared" si="1"/>
        <v>15</v>
      </c>
      <c r="N22" s="44">
        <f t="shared" si="0"/>
        <v>60</v>
      </c>
      <c r="O22" s="56"/>
      <c r="P22" s="67">
        <f t="shared" si="2"/>
        <v>157</v>
      </c>
      <c r="Q22" s="71">
        <f t="shared" si="3"/>
        <v>337</v>
      </c>
      <c r="R22" s="31">
        <f t="shared" si="4"/>
        <v>9</v>
      </c>
      <c r="S22" s="31">
        <f t="shared" si="5"/>
        <v>1</v>
      </c>
      <c r="T22" s="31">
        <f t="shared" si="6"/>
        <v>21.5</v>
      </c>
      <c r="U22" s="31">
        <f t="shared" si="22"/>
        <v>1.8958333333333286</v>
      </c>
      <c r="V22" s="31">
        <f t="shared" si="7"/>
        <v>14</v>
      </c>
      <c r="W22" s="31">
        <f t="shared" si="8"/>
        <v>0</v>
      </c>
      <c r="X22" s="31">
        <f t="shared" si="9"/>
        <v>17.5</v>
      </c>
      <c r="Y22" s="31">
        <f t="shared" si="23"/>
        <v>50.72916666666666</v>
      </c>
      <c r="Z22" s="31">
        <f t="shared" si="24"/>
        <v>0.8875723293272222</v>
      </c>
      <c r="AA22" s="31">
        <f t="shared" si="25"/>
        <v>0.885390668542313</v>
      </c>
      <c r="AB22" s="31">
        <f t="shared" si="26"/>
        <v>0.001454440523272463</v>
      </c>
      <c r="AC22" s="31">
        <f t="shared" si="27"/>
        <v>0.9999971975199706</v>
      </c>
      <c r="AD22" s="31">
        <f t="shared" si="28"/>
        <v>0.0023674802378622793</v>
      </c>
      <c r="AE22" s="31">
        <f t="shared" si="29"/>
        <v>0.0023674802378622793</v>
      </c>
      <c r="AF22" s="31">
        <f t="shared" si="10"/>
        <v>180</v>
      </c>
      <c r="AG22" s="31">
        <f t="shared" si="30"/>
        <v>157.17064433491552</v>
      </c>
      <c r="AH22" s="31">
        <f t="shared" si="31"/>
        <v>157.17064433491552</v>
      </c>
      <c r="AI22" s="31">
        <f t="shared" si="32"/>
        <v>157</v>
      </c>
      <c r="AJ22" s="31"/>
      <c r="AK22" s="31">
        <f t="shared" si="33"/>
        <v>15.069272136819572</v>
      </c>
      <c r="AL22" s="31">
        <f t="shared" si="11"/>
        <v>15</v>
      </c>
      <c r="AM22" s="31"/>
      <c r="AN22" s="31"/>
      <c r="AO22" s="31">
        <f t="shared" si="12"/>
        <v>0.885390668542313</v>
      </c>
      <c r="AP22" s="31">
        <f t="shared" si="13"/>
        <v>0.8875723293272222</v>
      </c>
      <c r="AQ22" s="31">
        <f t="shared" si="14"/>
        <v>-0.001454440523272463</v>
      </c>
      <c r="AR22" s="31">
        <f t="shared" si="15"/>
        <v>0.9999971975199706</v>
      </c>
      <c r="AS22" s="31">
        <f t="shared" si="16"/>
        <v>0.0023674802378622793</v>
      </c>
      <c r="AT22" s="31">
        <f t="shared" si="17"/>
        <v>0.0023674802378622793</v>
      </c>
      <c r="AU22" s="31">
        <f t="shared" si="18"/>
        <v>0</v>
      </c>
      <c r="AV22" s="31">
        <f t="shared" si="19"/>
        <v>157.12555002407643</v>
      </c>
      <c r="AW22" s="31">
        <f t="shared" si="20"/>
        <v>337.12555002407646</v>
      </c>
      <c r="AX22" s="31">
        <f t="shared" si="21"/>
        <v>337</v>
      </c>
    </row>
    <row r="23" spans="1:50" ht="16.5" customHeight="1">
      <c r="A23" s="39">
        <v>38150</v>
      </c>
      <c r="B23" s="40">
        <v>0.96875</v>
      </c>
      <c r="C23" s="41" t="s">
        <v>136</v>
      </c>
      <c r="D23" s="78" t="s">
        <v>25</v>
      </c>
      <c r="E23" s="79">
        <v>2</v>
      </c>
      <c r="F23" s="77" t="s">
        <v>8</v>
      </c>
      <c r="G23" s="89" t="s">
        <v>25</v>
      </c>
      <c r="H23" s="90">
        <v>3</v>
      </c>
      <c r="I23" s="86" t="s">
        <v>13</v>
      </c>
      <c r="J23" s="37">
        <v>2490</v>
      </c>
      <c r="K23" s="42" t="s">
        <v>137</v>
      </c>
      <c r="L23" s="29" t="s">
        <v>138</v>
      </c>
      <c r="M23" s="62">
        <f t="shared" si="1"/>
        <v>111</v>
      </c>
      <c r="N23" s="44">
        <f t="shared" si="0"/>
        <v>444</v>
      </c>
      <c r="O23" s="56"/>
      <c r="P23" s="67">
        <f t="shared" si="2"/>
        <v>70</v>
      </c>
      <c r="Q23" s="71">
        <f t="shared" si="3"/>
        <v>251</v>
      </c>
      <c r="R23" s="31">
        <f t="shared" si="4"/>
        <v>9</v>
      </c>
      <c r="S23" s="31">
        <f t="shared" si="5"/>
        <v>2</v>
      </c>
      <c r="T23" s="31">
        <f t="shared" si="6"/>
        <v>14.5</v>
      </c>
      <c r="U23" s="31">
        <f t="shared" si="22"/>
        <v>2.6041666666666714</v>
      </c>
      <c r="V23" s="31">
        <f t="shared" si="7"/>
        <v>14</v>
      </c>
      <c r="W23" s="31">
        <f t="shared" si="8"/>
        <v>1</v>
      </c>
      <c r="X23" s="31">
        <f t="shared" si="9"/>
        <v>4.5</v>
      </c>
      <c r="Y23" s="31">
        <f t="shared" si="23"/>
        <v>51.1875</v>
      </c>
      <c r="Z23" s="31">
        <f t="shared" si="24"/>
        <v>0.8875723293272222</v>
      </c>
      <c r="AA23" s="31">
        <f t="shared" si="25"/>
        <v>0.8933900914203136</v>
      </c>
      <c r="AB23" s="31">
        <f t="shared" si="26"/>
        <v>0.026179929418910286</v>
      </c>
      <c r="AC23" s="31">
        <f t="shared" si="27"/>
        <v>0.9998474871872209</v>
      </c>
      <c r="AD23" s="31">
        <f t="shared" si="28"/>
        <v>0.017465204815848182</v>
      </c>
      <c r="AE23" s="31">
        <f t="shared" si="29"/>
        <v>0.017465204815848182</v>
      </c>
      <c r="AF23" s="31">
        <f t="shared" si="10"/>
        <v>0</v>
      </c>
      <c r="AG23" s="31">
        <f t="shared" si="30"/>
        <v>70.09329961571079</v>
      </c>
      <c r="AH23" s="31">
        <f t="shared" si="31"/>
        <v>70.09329961571079</v>
      </c>
      <c r="AI23" s="31">
        <f t="shared" si="32"/>
        <v>70</v>
      </c>
      <c r="AJ23" s="31"/>
      <c r="AK23" s="31">
        <f t="shared" si="33"/>
        <v>111.16794982540341</v>
      </c>
      <c r="AL23" s="31">
        <f t="shared" si="11"/>
        <v>111</v>
      </c>
      <c r="AM23" s="31"/>
      <c r="AN23" s="31"/>
      <c r="AO23" s="31">
        <f t="shared" si="12"/>
        <v>0.8933900914203136</v>
      </c>
      <c r="AP23" s="31">
        <f t="shared" si="13"/>
        <v>0.8875723293272222</v>
      </c>
      <c r="AQ23" s="31">
        <f t="shared" si="14"/>
        <v>-0.026179929418910286</v>
      </c>
      <c r="AR23" s="31">
        <f t="shared" si="15"/>
        <v>0.9998474871872209</v>
      </c>
      <c r="AS23" s="31">
        <f t="shared" si="16"/>
        <v>0.017465204815848182</v>
      </c>
      <c r="AT23" s="31">
        <f t="shared" si="17"/>
        <v>0.017465204815848182</v>
      </c>
      <c r="AU23" s="31">
        <f t="shared" si="18"/>
        <v>180</v>
      </c>
      <c r="AV23" s="31">
        <f t="shared" si="19"/>
        <v>71.00070237940355</v>
      </c>
      <c r="AW23" s="31">
        <f t="shared" si="20"/>
        <v>251.00070237940355</v>
      </c>
      <c r="AX23" s="31">
        <f t="shared" si="21"/>
        <v>251</v>
      </c>
    </row>
    <row r="24" spans="1:50" ht="16.5" customHeight="1">
      <c r="A24" s="39">
        <v>38151</v>
      </c>
      <c r="B24" s="40">
        <v>0.2604166666666667</v>
      </c>
      <c r="C24" s="41" t="s">
        <v>139</v>
      </c>
      <c r="D24" s="78" t="s">
        <v>25</v>
      </c>
      <c r="E24" s="79">
        <v>2</v>
      </c>
      <c r="F24" s="77" t="s">
        <v>4</v>
      </c>
      <c r="G24" s="89" t="s">
        <v>25</v>
      </c>
      <c r="H24" s="88">
        <v>3</v>
      </c>
      <c r="I24" s="86" t="s">
        <v>14</v>
      </c>
      <c r="J24" s="37">
        <v>9731</v>
      </c>
      <c r="K24" s="42" t="s">
        <v>140</v>
      </c>
      <c r="L24" s="29" t="s">
        <v>135</v>
      </c>
      <c r="M24" s="62">
        <f t="shared" si="1"/>
        <v>190</v>
      </c>
      <c r="N24" s="44">
        <f t="shared" si="0"/>
        <v>760</v>
      </c>
      <c r="O24" s="56"/>
      <c r="P24" s="67">
        <f t="shared" si="2"/>
        <v>46</v>
      </c>
      <c r="Q24" s="71">
        <f t="shared" si="3"/>
        <v>226</v>
      </c>
      <c r="R24" s="31">
        <f t="shared" si="4"/>
        <v>9</v>
      </c>
      <c r="S24" s="31">
        <f t="shared" si="5"/>
        <v>2</v>
      </c>
      <c r="T24" s="31">
        <f t="shared" si="6"/>
        <v>20.5</v>
      </c>
      <c r="U24" s="31">
        <f t="shared" si="22"/>
        <v>2.8541666666666714</v>
      </c>
      <c r="V24" s="31">
        <f t="shared" si="7"/>
        <v>14</v>
      </c>
      <c r="W24" s="31">
        <f t="shared" si="8"/>
        <v>2</v>
      </c>
      <c r="X24" s="31">
        <f t="shared" si="9"/>
        <v>0.5</v>
      </c>
      <c r="Y24" s="31">
        <f t="shared" si="23"/>
        <v>52.02083333333334</v>
      </c>
      <c r="Z24" s="31">
        <f t="shared" si="24"/>
        <v>0.8875723293272222</v>
      </c>
      <c r="AA24" s="31">
        <f t="shared" si="25"/>
        <v>0.9079344966530416</v>
      </c>
      <c r="AB24" s="31">
        <f t="shared" si="26"/>
        <v>0.034906572558547046</v>
      </c>
      <c r="AC24" s="31">
        <f t="shared" si="27"/>
        <v>0.9995560442792786</v>
      </c>
      <c r="AD24" s="31">
        <f t="shared" si="28"/>
        <v>0.02979894541952621</v>
      </c>
      <c r="AE24" s="31">
        <f t="shared" si="29"/>
        <v>0.02979894541952621</v>
      </c>
      <c r="AF24" s="31">
        <f t="shared" si="10"/>
        <v>0</v>
      </c>
      <c r="AG24" s="31">
        <f t="shared" si="30"/>
        <v>46.852362854569094</v>
      </c>
      <c r="AH24" s="31">
        <f t="shared" si="31"/>
        <v>46.852362854569094</v>
      </c>
      <c r="AI24" s="31">
        <f t="shared" si="32"/>
        <v>46</v>
      </c>
      <c r="AJ24" s="31"/>
      <c r="AK24" s="31">
        <f t="shared" si="33"/>
        <v>189.67356547928046</v>
      </c>
      <c r="AL24" s="31">
        <f t="shared" si="11"/>
        <v>190</v>
      </c>
      <c r="AM24" s="31"/>
      <c r="AN24" s="31"/>
      <c r="AO24" s="31">
        <f t="shared" si="12"/>
        <v>0.9079344966530416</v>
      </c>
      <c r="AP24" s="31">
        <f t="shared" si="13"/>
        <v>0.8875723293272222</v>
      </c>
      <c r="AQ24" s="31">
        <f t="shared" si="14"/>
        <v>-0.034906572558547046</v>
      </c>
      <c r="AR24" s="31">
        <f t="shared" si="15"/>
        <v>0.9995560442792786</v>
      </c>
      <c r="AS24" s="31">
        <f t="shared" si="16"/>
        <v>0.02979894541952621</v>
      </c>
      <c r="AT24" s="31">
        <f t="shared" si="17"/>
        <v>0.02979894541952621</v>
      </c>
      <c r="AU24" s="31">
        <f t="shared" si="18"/>
        <v>180</v>
      </c>
      <c r="AV24" s="31">
        <f t="shared" si="19"/>
        <v>46.95623744954879</v>
      </c>
      <c r="AW24" s="31">
        <f t="shared" si="20"/>
        <v>226.95623744954878</v>
      </c>
      <c r="AX24" s="31">
        <f t="shared" si="21"/>
        <v>226</v>
      </c>
    </row>
    <row r="25" spans="1:50" ht="16.5" customHeight="1">
      <c r="A25" s="39">
        <v>38151</v>
      </c>
      <c r="B25" s="40">
        <v>0.2673611111111111</v>
      </c>
      <c r="C25" s="41" t="s">
        <v>142</v>
      </c>
      <c r="D25" s="78" t="s">
        <v>25</v>
      </c>
      <c r="E25" s="79">
        <v>3</v>
      </c>
      <c r="F25" s="77" t="s">
        <v>9</v>
      </c>
      <c r="G25" s="89" t="s">
        <v>25</v>
      </c>
      <c r="H25" s="90">
        <v>0</v>
      </c>
      <c r="I25" s="86" t="s">
        <v>15</v>
      </c>
      <c r="J25" s="37" t="s">
        <v>134</v>
      </c>
      <c r="K25" s="42" t="s">
        <v>141</v>
      </c>
      <c r="L25" s="29" t="s">
        <v>143</v>
      </c>
      <c r="M25" s="62">
        <f t="shared" si="1"/>
        <v>194</v>
      </c>
      <c r="N25" s="44">
        <f t="shared" si="0"/>
        <v>388</v>
      </c>
      <c r="O25" s="56"/>
      <c r="P25" s="67">
        <f t="shared" si="2"/>
        <v>47</v>
      </c>
      <c r="Q25" s="71">
        <f t="shared" si="3"/>
        <v>228</v>
      </c>
      <c r="R25" s="31">
        <f t="shared" si="4"/>
        <v>9</v>
      </c>
      <c r="S25" s="31">
        <f t="shared" si="5"/>
        <v>2</v>
      </c>
      <c r="T25" s="31">
        <f t="shared" si="6"/>
        <v>21.5</v>
      </c>
      <c r="U25" s="31">
        <f t="shared" si="22"/>
        <v>2.8958333333333286</v>
      </c>
      <c r="V25" s="31">
        <f t="shared" si="7"/>
        <v>14</v>
      </c>
      <c r="W25" s="31">
        <f t="shared" si="8"/>
        <v>2</v>
      </c>
      <c r="X25" s="31">
        <f t="shared" si="9"/>
        <v>0.5</v>
      </c>
      <c r="Y25" s="31">
        <f t="shared" si="23"/>
        <v>52.02083333333334</v>
      </c>
      <c r="Z25" s="31">
        <f t="shared" si="24"/>
        <v>0.8875723293272222</v>
      </c>
      <c r="AA25" s="31">
        <f t="shared" si="25"/>
        <v>0.9079344966530416</v>
      </c>
      <c r="AB25" s="31">
        <f t="shared" si="26"/>
        <v>0.036361013081819514</v>
      </c>
      <c r="AC25" s="31">
        <f t="shared" si="27"/>
        <v>0.9995359144769781</v>
      </c>
      <c r="AD25" s="31">
        <f t="shared" si="28"/>
        <v>0.030467078079801767</v>
      </c>
      <c r="AE25" s="31">
        <f t="shared" si="29"/>
        <v>0.030467078079801767</v>
      </c>
      <c r="AF25" s="31">
        <f t="shared" si="10"/>
        <v>0</v>
      </c>
      <c r="AG25" s="31">
        <f t="shared" si="30"/>
        <v>47.982935541253276</v>
      </c>
      <c r="AH25" s="31">
        <f t="shared" si="31"/>
        <v>47.982935541253276</v>
      </c>
      <c r="AI25" s="31">
        <f t="shared" si="32"/>
        <v>47</v>
      </c>
      <c r="AJ25" s="31"/>
      <c r="AK25" s="31">
        <f t="shared" si="33"/>
        <v>193.92630335652703</v>
      </c>
      <c r="AL25" s="31">
        <f t="shared" si="11"/>
        <v>194</v>
      </c>
      <c r="AM25" s="31"/>
      <c r="AN25" s="31"/>
      <c r="AO25" s="31">
        <f t="shared" si="12"/>
        <v>0.9079344966530416</v>
      </c>
      <c r="AP25" s="31">
        <f t="shared" si="13"/>
        <v>0.8875723293272222</v>
      </c>
      <c r="AQ25" s="31">
        <f t="shared" si="14"/>
        <v>-0.036361013081819514</v>
      </c>
      <c r="AR25" s="31">
        <f t="shared" si="15"/>
        <v>0.9995359144769781</v>
      </c>
      <c r="AS25" s="31">
        <f t="shared" si="16"/>
        <v>0.030467078079801767</v>
      </c>
      <c r="AT25" s="31">
        <f t="shared" si="17"/>
        <v>0.030467078079801767</v>
      </c>
      <c r="AU25" s="31">
        <f t="shared" si="18"/>
        <v>180</v>
      </c>
      <c r="AV25" s="31">
        <f t="shared" si="19"/>
        <v>48.157169461376185</v>
      </c>
      <c r="AW25" s="31">
        <f t="shared" si="20"/>
        <v>228.15716946137618</v>
      </c>
      <c r="AX25" s="31">
        <f t="shared" si="21"/>
        <v>228</v>
      </c>
    </row>
    <row r="26" spans="1:50" ht="17.25" customHeight="1">
      <c r="A26" s="39">
        <v>38151</v>
      </c>
      <c r="B26" s="40">
        <v>0.3229166666666667</v>
      </c>
      <c r="C26" s="41" t="s">
        <v>145</v>
      </c>
      <c r="D26" s="78" t="s">
        <v>25</v>
      </c>
      <c r="E26" s="79">
        <v>3</v>
      </c>
      <c r="F26" s="77" t="s">
        <v>1</v>
      </c>
      <c r="G26" s="89" t="s">
        <v>25</v>
      </c>
      <c r="H26" s="88">
        <v>0</v>
      </c>
      <c r="I26" s="86" t="s">
        <v>16</v>
      </c>
      <c r="J26" s="37" t="s">
        <v>134</v>
      </c>
      <c r="K26" s="42" t="s">
        <v>144</v>
      </c>
      <c r="L26" s="29" t="s">
        <v>146</v>
      </c>
      <c r="M26" s="62">
        <f t="shared" si="1"/>
        <v>30</v>
      </c>
      <c r="N26" s="44">
        <f t="shared" si="0"/>
        <v>60</v>
      </c>
      <c r="O26" s="56"/>
      <c r="P26" s="67">
        <f t="shared" si="2"/>
        <v>51</v>
      </c>
      <c r="Q26" s="71">
        <f t="shared" si="3"/>
        <v>231</v>
      </c>
      <c r="R26" s="31">
        <f t="shared" si="4"/>
        <v>9</v>
      </c>
      <c r="S26" s="31">
        <f t="shared" si="5"/>
        <v>2</v>
      </c>
      <c r="T26" s="31">
        <f t="shared" si="6"/>
        <v>0.5</v>
      </c>
      <c r="U26" s="31">
        <f t="shared" si="22"/>
        <v>2.0208333333333286</v>
      </c>
      <c r="V26" s="31">
        <f t="shared" si="7"/>
        <v>14</v>
      </c>
      <c r="W26" s="31">
        <f t="shared" si="8"/>
        <v>1</v>
      </c>
      <c r="X26" s="31">
        <f t="shared" si="9"/>
        <v>0.5</v>
      </c>
      <c r="Y26" s="31">
        <f t="shared" si="23"/>
        <v>51.02083333333334</v>
      </c>
      <c r="Z26" s="31">
        <f t="shared" si="24"/>
        <v>0.8875723293272222</v>
      </c>
      <c r="AA26" s="31">
        <f t="shared" si="25"/>
        <v>0.8904812103737682</v>
      </c>
      <c r="AB26" s="31">
        <f t="shared" si="26"/>
        <v>0.005817762093090844</v>
      </c>
      <c r="AC26" s="31">
        <f t="shared" si="27"/>
        <v>0.9999890488712292</v>
      </c>
      <c r="AD26" s="31">
        <f t="shared" si="28"/>
        <v>0.00467998905100391</v>
      </c>
      <c r="AE26" s="31">
        <f t="shared" si="29"/>
        <v>0.00467998905100391</v>
      </c>
      <c r="AF26" s="31">
        <f t="shared" si="10"/>
        <v>0</v>
      </c>
      <c r="AG26" s="31">
        <f t="shared" si="30"/>
        <v>51.540856421272444</v>
      </c>
      <c r="AH26" s="31">
        <f t="shared" si="31"/>
        <v>51.540856421272444</v>
      </c>
      <c r="AI26" s="31">
        <f t="shared" si="32"/>
        <v>51</v>
      </c>
      <c r="AJ26" s="31"/>
      <c r="AK26" s="31">
        <f t="shared" si="33"/>
        <v>29.788645108435496</v>
      </c>
      <c r="AL26" s="31">
        <f t="shared" si="11"/>
        <v>30</v>
      </c>
      <c r="AM26" s="31"/>
      <c r="AN26" s="31"/>
      <c r="AO26" s="31">
        <f t="shared" si="12"/>
        <v>0.8904812103737682</v>
      </c>
      <c r="AP26" s="31">
        <f t="shared" si="13"/>
        <v>0.8875723293272222</v>
      </c>
      <c r="AQ26" s="31">
        <f t="shared" si="14"/>
        <v>-0.005817762093090844</v>
      </c>
      <c r="AR26" s="31">
        <f t="shared" si="15"/>
        <v>0.9999890488712292</v>
      </c>
      <c r="AS26" s="31">
        <f t="shared" si="16"/>
        <v>0.00467998905100391</v>
      </c>
      <c r="AT26" s="31">
        <f t="shared" si="17"/>
        <v>0.00467998905100391</v>
      </c>
      <c r="AU26" s="31">
        <f t="shared" si="18"/>
        <v>180</v>
      </c>
      <c r="AV26" s="31">
        <f t="shared" si="19"/>
        <v>51.59969668923339</v>
      </c>
      <c r="AW26" s="31">
        <f t="shared" si="20"/>
        <v>231.59969668923338</v>
      </c>
      <c r="AX26" s="31">
        <f t="shared" si="21"/>
        <v>231</v>
      </c>
    </row>
    <row r="27" spans="1:50" ht="17.25" customHeight="1">
      <c r="A27" s="39">
        <v>38151</v>
      </c>
      <c r="B27" s="40">
        <v>0.3368055555555556</v>
      </c>
      <c r="C27" s="41" t="s">
        <v>147</v>
      </c>
      <c r="D27" s="78" t="s">
        <v>25</v>
      </c>
      <c r="E27" s="79">
        <v>5</v>
      </c>
      <c r="F27" s="77" t="s">
        <v>1</v>
      </c>
      <c r="G27" s="89" t="s">
        <v>25</v>
      </c>
      <c r="H27" s="90">
        <v>0</v>
      </c>
      <c r="I27" s="86" t="s">
        <v>17</v>
      </c>
      <c r="J27" s="37" t="s">
        <v>134</v>
      </c>
      <c r="K27" s="42" t="s">
        <v>149</v>
      </c>
      <c r="L27" s="29" t="s">
        <v>148</v>
      </c>
      <c r="M27" s="62">
        <f t="shared" si="1"/>
        <v>24</v>
      </c>
      <c r="N27" s="44">
        <f t="shared" si="0"/>
        <v>48</v>
      </c>
      <c r="O27" s="56"/>
      <c r="P27" s="67">
        <f t="shared" si="2"/>
        <v>78</v>
      </c>
      <c r="Q27" s="71">
        <f t="shared" si="3"/>
        <v>258</v>
      </c>
      <c r="R27" s="31">
        <f t="shared" si="4"/>
        <v>9</v>
      </c>
      <c r="S27" s="31">
        <f t="shared" si="5"/>
        <v>2</v>
      </c>
      <c r="T27" s="31">
        <f t="shared" si="6"/>
        <v>0.5</v>
      </c>
      <c r="U27" s="31">
        <f t="shared" si="22"/>
        <v>2.0208333333333286</v>
      </c>
      <c r="V27" s="31">
        <f t="shared" si="7"/>
        <v>14</v>
      </c>
      <c r="W27" s="31">
        <f t="shared" si="8"/>
        <v>0</v>
      </c>
      <c r="X27" s="31">
        <f t="shared" si="9"/>
        <v>21.5</v>
      </c>
      <c r="Y27" s="31">
        <f t="shared" si="23"/>
        <v>50.89583333333334</v>
      </c>
      <c r="Z27" s="31">
        <f t="shared" si="24"/>
        <v>0.8875723293272222</v>
      </c>
      <c r="AA27" s="31">
        <f t="shared" si="25"/>
        <v>0.8882995495888589</v>
      </c>
      <c r="AB27" s="31">
        <f t="shared" si="26"/>
        <v>0.005817762093090844</v>
      </c>
      <c r="AC27" s="31">
        <f t="shared" si="27"/>
        <v>0.9999929971351871</v>
      </c>
      <c r="AD27" s="31">
        <f t="shared" si="28"/>
        <v>0.0037424251458899405</v>
      </c>
      <c r="AE27" s="31">
        <f t="shared" si="29"/>
        <v>0.0037424251458899405</v>
      </c>
      <c r="AF27" s="31">
        <f t="shared" si="10"/>
        <v>0</v>
      </c>
      <c r="AG27" s="31">
        <f t="shared" si="30"/>
        <v>78.67572820235193</v>
      </c>
      <c r="AH27" s="31">
        <f t="shared" si="31"/>
        <v>78.67572820235193</v>
      </c>
      <c r="AI27" s="31">
        <f t="shared" si="32"/>
        <v>78</v>
      </c>
      <c r="AJ27" s="31"/>
      <c r="AK27" s="31">
        <f t="shared" si="33"/>
        <v>23.82094772035552</v>
      </c>
      <c r="AL27" s="31">
        <f t="shared" si="11"/>
        <v>24</v>
      </c>
      <c r="AM27" s="31"/>
      <c r="AN27" s="31"/>
      <c r="AO27" s="31">
        <f t="shared" si="12"/>
        <v>0.8882995495888589</v>
      </c>
      <c r="AP27" s="31">
        <f t="shared" si="13"/>
        <v>0.8875723293272222</v>
      </c>
      <c r="AQ27" s="31">
        <f t="shared" si="14"/>
        <v>-0.005817762093090844</v>
      </c>
      <c r="AR27" s="31">
        <f t="shared" si="15"/>
        <v>0.9999929971351871</v>
      </c>
      <c r="AS27" s="31">
        <f t="shared" si="16"/>
        <v>0.0037424251458899405</v>
      </c>
      <c r="AT27" s="31">
        <f t="shared" si="17"/>
        <v>0.0037424251458899405</v>
      </c>
      <c r="AU27" s="31">
        <f t="shared" si="18"/>
        <v>180</v>
      </c>
      <c r="AV27" s="31">
        <f t="shared" si="19"/>
        <v>78.91479072419907</v>
      </c>
      <c r="AW27" s="31">
        <f t="shared" si="20"/>
        <v>258.91479072419907</v>
      </c>
      <c r="AX27" s="31">
        <f t="shared" si="21"/>
        <v>258</v>
      </c>
    </row>
    <row r="28" spans="1:50" ht="17.25" customHeight="1">
      <c r="A28" s="39">
        <v>38151</v>
      </c>
      <c r="B28" s="40">
        <v>0.34375</v>
      </c>
      <c r="C28" s="41" t="s">
        <v>150</v>
      </c>
      <c r="D28" s="78" t="s">
        <v>25</v>
      </c>
      <c r="E28" s="79">
        <v>5</v>
      </c>
      <c r="F28" s="77" t="s">
        <v>1</v>
      </c>
      <c r="G28" s="89" t="s">
        <v>25</v>
      </c>
      <c r="H28" s="88">
        <v>0</v>
      </c>
      <c r="I28" s="86" t="s">
        <v>18</v>
      </c>
      <c r="J28" s="37" t="s">
        <v>134</v>
      </c>
      <c r="K28" s="42" t="s">
        <v>151</v>
      </c>
      <c r="L28" s="29" t="s">
        <v>152</v>
      </c>
      <c r="M28" s="62">
        <f t="shared" si="1"/>
        <v>6</v>
      </c>
      <c r="N28" s="44">
        <f t="shared" si="0"/>
        <v>12</v>
      </c>
      <c r="O28" s="56"/>
      <c r="P28" s="67">
        <f t="shared" si="2"/>
        <v>89</v>
      </c>
      <c r="Q28" s="71">
        <f t="shared" si="3"/>
        <v>270</v>
      </c>
      <c r="R28" s="31">
        <f t="shared" si="4"/>
        <v>9</v>
      </c>
      <c r="S28" s="31">
        <f t="shared" si="5"/>
        <v>1</v>
      </c>
      <c r="T28" s="31">
        <f t="shared" si="6"/>
        <v>21.5</v>
      </c>
      <c r="U28" s="31">
        <f t="shared" si="22"/>
        <v>1.8958333333333286</v>
      </c>
      <c r="V28" s="31">
        <f t="shared" si="7"/>
        <v>14</v>
      </c>
      <c r="W28" s="31">
        <f t="shared" si="8"/>
        <v>0</v>
      </c>
      <c r="X28" s="31">
        <f t="shared" si="9"/>
        <v>20.5</v>
      </c>
      <c r="Y28" s="31">
        <f t="shared" si="23"/>
        <v>50.85416666666666</v>
      </c>
      <c r="Z28" s="31">
        <f t="shared" si="24"/>
        <v>0.8875723293272222</v>
      </c>
      <c r="AA28" s="31">
        <f t="shared" si="25"/>
        <v>0.8875723293272222</v>
      </c>
      <c r="AB28" s="31">
        <f t="shared" si="26"/>
        <v>0.001454440523272463</v>
      </c>
      <c r="AC28" s="31">
        <f t="shared" si="27"/>
        <v>0.9999995784696766</v>
      </c>
      <c r="AD28" s="31">
        <f t="shared" si="28"/>
        <v>0.0009181833728239871</v>
      </c>
      <c r="AE28" s="31">
        <f t="shared" si="29"/>
        <v>0.0009181833728239871</v>
      </c>
      <c r="AF28" s="31" t="b">
        <f t="shared" si="10"/>
        <v>0</v>
      </c>
      <c r="AG28" s="31">
        <f t="shared" si="30"/>
        <v>89.96768577049397</v>
      </c>
      <c r="AH28" s="31">
        <f t="shared" si="31"/>
        <v>89.96768577049397</v>
      </c>
      <c r="AI28" s="31">
        <f t="shared" si="32"/>
        <v>89</v>
      </c>
      <c r="AJ28" s="31"/>
      <c r="AK28" s="31">
        <f t="shared" si="33"/>
        <v>5.844338168195688</v>
      </c>
      <c r="AL28" s="31">
        <f t="shared" si="11"/>
        <v>6</v>
      </c>
      <c r="AM28" s="31"/>
      <c r="AN28" s="31"/>
      <c r="AO28" s="31">
        <f t="shared" si="12"/>
        <v>0.8875723293272222</v>
      </c>
      <c r="AP28" s="31">
        <f t="shared" si="13"/>
        <v>0.8875723293272222</v>
      </c>
      <c r="AQ28" s="31">
        <f t="shared" si="14"/>
        <v>-0.001454440523272463</v>
      </c>
      <c r="AR28" s="31">
        <f t="shared" si="15"/>
        <v>0.9999995784696766</v>
      </c>
      <c r="AS28" s="31">
        <f t="shared" si="16"/>
        <v>0.0009181833728239871</v>
      </c>
      <c r="AT28" s="31">
        <f t="shared" si="17"/>
        <v>0.0009181833728239871</v>
      </c>
      <c r="AU28" s="31" t="b">
        <f t="shared" si="18"/>
        <v>0</v>
      </c>
      <c r="AV28" s="31">
        <f t="shared" si="19"/>
        <v>90.03231422950603</v>
      </c>
      <c r="AW28" s="31">
        <f t="shared" si="20"/>
        <v>270.032314229506</v>
      </c>
      <c r="AX28" s="31">
        <f t="shared" si="21"/>
        <v>270</v>
      </c>
    </row>
    <row r="29" spans="1:50" ht="17.25" customHeight="1">
      <c r="A29" s="39">
        <v>38151</v>
      </c>
      <c r="B29" s="40">
        <v>0.3645833333333333</v>
      </c>
      <c r="C29" s="41" t="s">
        <v>154</v>
      </c>
      <c r="D29" s="78" t="s">
        <v>155</v>
      </c>
      <c r="E29" s="79">
        <v>5</v>
      </c>
      <c r="F29" s="77" t="s">
        <v>2</v>
      </c>
      <c r="G29" s="89" t="s">
        <v>25</v>
      </c>
      <c r="H29" s="90">
        <v>5</v>
      </c>
      <c r="I29" s="86" t="s">
        <v>19</v>
      </c>
      <c r="J29" s="37">
        <v>1741</v>
      </c>
      <c r="K29" s="42" t="s">
        <v>153</v>
      </c>
      <c r="L29" s="29" t="s">
        <v>162</v>
      </c>
      <c r="M29" s="62">
        <f t="shared" si="1"/>
        <v>40</v>
      </c>
      <c r="N29" s="44">
        <f t="shared" si="0"/>
        <v>160</v>
      </c>
      <c r="O29" s="56"/>
      <c r="P29" s="67">
        <f t="shared" si="2"/>
        <v>133</v>
      </c>
      <c r="Q29" s="71">
        <f t="shared" si="3"/>
        <v>313</v>
      </c>
      <c r="R29" s="31">
        <f t="shared" si="4"/>
        <v>9</v>
      </c>
      <c r="S29" s="31">
        <f t="shared" si="5"/>
        <v>2</v>
      </c>
      <c r="T29" s="31">
        <f t="shared" si="6"/>
        <v>1.5</v>
      </c>
      <c r="U29" s="31">
        <f t="shared" si="22"/>
        <v>2.0625</v>
      </c>
      <c r="V29" s="31">
        <f t="shared" si="7"/>
        <v>14</v>
      </c>
      <c r="W29" s="31">
        <f t="shared" si="8"/>
        <v>0</v>
      </c>
      <c r="X29" s="31">
        <f t="shared" si="9"/>
        <v>14.5</v>
      </c>
      <c r="Y29" s="31">
        <f t="shared" si="23"/>
        <v>50.60416666666666</v>
      </c>
      <c r="Z29" s="31">
        <f t="shared" si="24"/>
        <v>0.8875723293272222</v>
      </c>
      <c r="AA29" s="31">
        <f t="shared" si="25"/>
        <v>0.8832090077574039</v>
      </c>
      <c r="AB29" s="31">
        <f t="shared" si="26"/>
        <v>0.007272202616363803</v>
      </c>
      <c r="AC29" s="31">
        <f t="shared" si="27"/>
        <v>0.9999798861265917</v>
      </c>
      <c r="AD29" s="31">
        <f t="shared" si="28"/>
        <v>0.006342545362330235</v>
      </c>
      <c r="AE29" s="31">
        <f t="shared" si="29"/>
        <v>0.006342545362330235</v>
      </c>
      <c r="AF29" s="31">
        <f t="shared" si="10"/>
        <v>180</v>
      </c>
      <c r="AG29" s="31">
        <f t="shared" si="30"/>
        <v>133.45870271697405</v>
      </c>
      <c r="AH29" s="31">
        <f t="shared" si="31"/>
        <v>133.45870271697405</v>
      </c>
      <c r="AI29" s="31">
        <f t="shared" si="32"/>
        <v>133</v>
      </c>
      <c r="AJ29" s="31"/>
      <c r="AK29" s="31">
        <f t="shared" si="33"/>
        <v>40.3709989112218</v>
      </c>
      <c r="AL29" s="31">
        <f t="shared" si="11"/>
        <v>40</v>
      </c>
      <c r="AM29" s="31"/>
      <c r="AN29" s="31"/>
      <c r="AO29" s="31">
        <f t="shared" si="12"/>
        <v>0.8832090077574039</v>
      </c>
      <c r="AP29" s="31">
        <f t="shared" si="13"/>
        <v>0.8875723293272222</v>
      </c>
      <c r="AQ29" s="31">
        <f t="shared" si="14"/>
        <v>-0.007272202616363803</v>
      </c>
      <c r="AR29" s="31">
        <f t="shared" si="15"/>
        <v>0.9999798861265917</v>
      </c>
      <c r="AS29" s="31">
        <f t="shared" si="16"/>
        <v>0.006342545362330235</v>
      </c>
      <c r="AT29" s="31">
        <f t="shared" si="17"/>
        <v>0.006342545362330235</v>
      </c>
      <c r="AU29" s="31">
        <f t="shared" si="18"/>
        <v>0</v>
      </c>
      <c r="AV29" s="31">
        <f t="shared" si="19"/>
        <v>133.4759521275566</v>
      </c>
      <c r="AW29" s="31">
        <f t="shared" si="20"/>
        <v>313.47595212755664</v>
      </c>
      <c r="AX29" s="31">
        <f t="shared" si="21"/>
        <v>313</v>
      </c>
    </row>
    <row r="30" spans="1:50" ht="17.25" customHeight="1">
      <c r="A30" s="39">
        <v>38151</v>
      </c>
      <c r="B30" s="40">
        <v>0.37152777777777773</v>
      </c>
      <c r="C30" s="41" t="s">
        <v>156</v>
      </c>
      <c r="D30" s="78" t="s">
        <v>25</v>
      </c>
      <c r="E30" s="79">
        <v>3</v>
      </c>
      <c r="F30" s="80" t="s">
        <v>1</v>
      </c>
      <c r="G30" s="89" t="s">
        <v>25</v>
      </c>
      <c r="H30" s="90">
        <v>0</v>
      </c>
      <c r="I30" s="86" t="s">
        <v>20</v>
      </c>
      <c r="J30" s="37"/>
      <c r="K30" s="42" t="s">
        <v>173</v>
      </c>
      <c r="L30" s="30"/>
      <c r="M30" s="62">
        <f t="shared" si="1"/>
        <v>24</v>
      </c>
      <c r="N30" s="44">
        <f t="shared" si="0"/>
        <v>48</v>
      </c>
      <c r="O30" s="56"/>
      <c r="P30" s="67">
        <f t="shared" si="2"/>
        <v>78</v>
      </c>
      <c r="Q30" s="71">
        <f t="shared" si="3"/>
        <v>258</v>
      </c>
      <c r="R30" s="31">
        <f t="shared" si="4"/>
        <v>9</v>
      </c>
      <c r="S30" s="31">
        <f t="shared" si="5"/>
        <v>2</v>
      </c>
      <c r="T30" s="31">
        <f t="shared" si="6"/>
        <v>0.5</v>
      </c>
      <c r="U30" s="31">
        <f t="shared" si="22"/>
        <v>2.0208333333333286</v>
      </c>
      <c r="V30" s="31">
        <f t="shared" si="7"/>
        <v>14</v>
      </c>
      <c r="W30" s="31">
        <f t="shared" si="8"/>
        <v>0</v>
      </c>
      <c r="X30" s="31">
        <f t="shared" si="9"/>
        <v>21.5</v>
      </c>
      <c r="Y30" s="31">
        <f t="shared" si="23"/>
        <v>50.89583333333334</v>
      </c>
      <c r="Z30" s="31">
        <f t="shared" si="24"/>
        <v>0.8875723293272222</v>
      </c>
      <c r="AA30" s="31">
        <f t="shared" si="25"/>
        <v>0.8882995495888589</v>
      </c>
      <c r="AB30" s="31">
        <f t="shared" si="26"/>
        <v>0.005817762093090844</v>
      </c>
      <c r="AC30" s="31">
        <f t="shared" si="27"/>
        <v>0.9999929971351871</v>
      </c>
      <c r="AD30" s="31">
        <f t="shared" si="28"/>
        <v>0.0037424251458899405</v>
      </c>
      <c r="AE30" s="31">
        <f t="shared" si="29"/>
        <v>0.0037424251458899405</v>
      </c>
      <c r="AF30" s="31">
        <f t="shared" si="10"/>
        <v>0</v>
      </c>
      <c r="AG30" s="31">
        <f t="shared" si="30"/>
        <v>78.67572820235193</v>
      </c>
      <c r="AH30" s="31">
        <f t="shared" si="31"/>
        <v>78.67572820235193</v>
      </c>
      <c r="AI30" s="31">
        <f t="shared" si="32"/>
        <v>78</v>
      </c>
      <c r="AJ30" s="31"/>
      <c r="AK30" s="31">
        <f t="shared" si="33"/>
        <v>23.82094772035552</v>
      </c>
      <c r="AL30" s="31">
        <f t="shared" si="11"/>
        <v>24</v>
      </c>
      <c r="AM30" s="31"/>
      <c r="AN30" s="31"/>
      <c r="AO30" s="31">
        <f t="shared" si="12"/>
        <v>0.8882995495888589</v>
      </c>
      <c r="AP30" s="31">
        <f t="shared" si="13"/>
        <v>0.8875723293272222</v>
      </c>
      <c r="AQ30" s="31">
        <f t="shared" si="14"/>
        <v>-0.005817762093090844</v>
      </c>
      <c r="AR30" s="31">
        <f t="shared" si="15"/>
        <v>0.9999929971351871</v>
      </c>
      <c r="AS30" s="31">
        <f t="shared" si="16"/>
        <v>0.0037424251458899405</v>
      </c>
      <c r="AT30" s="31">
        <f t="shared" si="17"/>
        <v>0.0037424251458899405</v>
      </c>
      <c r="AU30" s="31">
        <f t="shared" si="18"/>
        <v>180</v>
      </c>
      <c r="AV30" s="31">
        <f t="shared" si="19"/>
        <v>78.91479072419907</v>
      </c>
      <c r="AW30" s="31">
        <f t="shared" si="20"/>
        <v>258.91479072419907</v>
      </c>
      <c r="AX30" s="31">
        <f t="shared" si="21"/>
        <v>258</v>
      </c>
    </row>
    <row r="31" spans="1:50" ht="17.25" customHeight="1">
      <c r="A31" s="45">
        <v>38151</v>
      </c>
      <c r="B31" s="46">
        <v>0.40277777777777773</v>
      </c>
      <c r="C31" s="37" t="s">
        <v>157</v>
      </c>
      <c r="D31" s="78" t="s">
        <v>25</v>
      </c>
      <c r="E31" s="79">
        <v>5</v>
      </c>
      <c r="F31" s="81">
        <v>1</v>
      </c>
      <c r="G31" s="87" t="s">
        <v>25</v>
      </c>
      <c r="H31" s="90">
        <v>0</v>
      </c>
      <c r="I31" s="91" t="s">
        <v>63</v>
      </c>
      <c r="J31" s="37" t="s">
        <v>134</v>
      </c>
      <c r="K31" s="42" t="s">
        <v>158</v>
      </c>
      <c r="L31" s="47"/>
      <c r="M31" s="62">
        <f t="shared" si="1"/>
        <v>19</v>
      </c>
      <c r="N31" s="44">
        <f t="shared" si="0"/>
        <v>38</v>
      </c>
      <c r="O31" s="56"/>
      <c r="P31" s="67">
        <f t="shared" si="2"/>
        <v>17</v>
      </c>
      <c r="Q31" s="71">
        <f t="shared" si="3"/>
        <v>197</v>
      </c>
      <c r="R31" s="31">
        <f t="shared" si="4"/>
        <v>9</v>
      </c>
      <c r="S31" s="31">
        <f t="shared" si="5"/>
        <v>1</v>
      </c>
      <c r="T31" s="31">
        <f t="shared" si="6"/>
        <v>21.5</v>
      </c>
      <c r="U31" s="31">
        <f t="shared" si="22"/>
        <v>1.8958333333333286</v>
      </c>
      <c r="V31" s="31">
        <f t="shared" si="7"/>
        <v>14</v>
      </c>
      <c r="W31" s="31">
        <f t="shared" si="8"/>
        <v>1</v>
      </c>
      <c r="X31" s="31">
        <f t="shared" si="9"/>
        <v>0.5</v>
      </c>
      <c r="Y31" s="31">
        <f t="shared" si="23"/>
        <v>51.02083333333334</v>
      </c>
      <c r="Z31" s="31">
        <f t="shared" si="24"/>
        <v>0.8875723293272222</v>
      </c>
      <c r="AA31" s="31">
        <f t="shared" si="25"/>
        <v>0.8904812103737682</v>
      </c>
      <c r="AB31" s="31">
        <f t="shared" si="26"/>
        <v>0.001454440523272463</v>
      </c>
      <c r="AC31" s="31">
        <f t="shared" si="27"/>
        <v>0.9999953491863209</v>
      </c>
      <c r="AD31" s="31">
        <f t="shared" si="28"/>
        <v>0.0030498581226337976</v>
      </c>
      <c r="AE31" s="31">
        <f t="shared" si="29"/>
        <v>0.0030498581226337976</v>
      </c>
      <c r="AF31" s="31">
        <f t="shared" si="10"/>
        <v>0</v>
      </c>
      <c r="AG31" s="31">
        <f t="shared" si="30"/>
        <v>17.515288595380483</v>
      </c>
      <c r="AH31" s="31">
        <f t="shared" si="31"/>
        <v>17.515288595380483</v>
      </c>
      <c r="AI31" s="31">
        <f t="shared" si="32"/>
        <v>17</v>
      </c>
      <c r="AJ31" s="31"/>
      <c r="AK31" s="31">
        <f t="shared" si="33"/>
        <v>19.41268243495761</v>
      </c>
      <c r="AL31" s="31">
        <f t="shared" si="11"/>
        <v>19</v>
      </c>
      <c r="AM31" s="31"/>
      <c r="AN31" s="31"/>
      <c r="AO31" s="31">
        <f t="shared" si="12"/>
        <v>0.8904812103737682</v>
      </c>
      <c r="AP31" s="31">
        <f t="shared" si="13"/>
        <v>0.8875723293272222</v>
      </c>
      <c r="AQ31" s="31">
        <f t="shared" si="14"/>
        <v>-0.001454440523272463</v>
      </c>
      <c r="AR31" s="31">
        <f t="shared" si="15"/>
        <v>0.9999953491863209</v>
      </c>
      <c r="AS31" s="31">
        <f t="shared" si="16"/>
        <v>0.0030498581226337976</v>
      </c>
      <c r="AT31" s="31">
        <f t="shared" si="17"/>
        <v>0.0030498581226337976</v>
      </c>
      <c r="AU31" s="31">
        <f t="shared" si="18"/>
        <v>180</v>
      </c>
      <c r="AV31" s="31">
        <f t="shared" si="19"/>
        <v>17.46227088888027</v>
      </c>
      <c r="AW31" s="31">
        <f t="shared" si="20"/>
        <v>197.46227088888025</v>
      </c>
      <c r="AX31" s="31">
        <f t="shared" si="21"/>
        <v>197</v>
      </c>
    </row>
    <row r="32" spans="1:50" s="2" customFormat="1" ht="16.5" customHeight="1">
      <c r="A32" s="37"/>
      <c r="B32" s="37"/>
      <c r="C32" s="37"/>
      <c r="D32" s="78"/>
      <c r="E32" s="79"/>
      <c r="F32" s="81"/>
      <c r="G32" s="87"/>
      <c r="H32" s="90"/>
      <c r="I32" s="91"/>
      <c r="J32" s="37"/>
      <c r="K32" s="42"/>
      <c r="L32" s="29"/>
      <c r="M32" s="62">
        <f t="shared" si="1"/>
        <v>0</v>
      </c>
      <c r="N32" s="44">
        <f t="shared" si="0"/>
        <v>0</v>
      </c>
      <c r="O32" s="57"/>
      <c r="P32" s="67">
        <f t="shared" si="2"/>
      </c>
      <c r="Q32" s="71">
        <f t="shared" si="3"/>
      </c>
      <c r="R32" s="31">
        <f t="shared" si="4"/>
        <v>0</v>
      </c>
      <c r="S32" s="31">
        <f t="shared" si="5"/>
        <v>0</v>
      </c>
      <c r="T32" s="31">
        <f t="shared" si="6"/>
        <v>0</v>
      </c>
      <c r="U32" s="31">
        <f t="shared" si="22"/>
        <v>-90</v>
      </c>
      <c r="V32" s="31">
        <f t="shared" si="7"/>
        <v>0</v>
      </c>
      <c r="W32" s="31">
        <f t="shared" si="8"/>
        <v>0</v>
      </c>
      <c r="X32" s="31">
        <f t="shared" si="9"/>
        <v>0</v>
      </c>
      <c r="Y32" s="31">
        <f t="shared" si="23"/>
        <v>-90</v>
      </c>
      <c r="Z32" s="31">
        <f t="shared" si="24"/>
        <v>0.8875723293272222</v>
      </c>
      <c r="AA32" s="31">
        <f t="shared" si="25"/>
        <v>-1.5707957651346172</v>
      </c>
      <c r="AB32" s="31">
        <f t="shared" si="26"/>
        <v>-3.2063141335548737</v>
      </c>
      <c r="AC32" s="31">
        <f t="shared" si="27"/>
        <v>-0.775541807873443</v>
      </c>
      <c r="AD32" s="31">
        <f t="shared" si="28"/>
        <v>-0.6832234369833462</v>
      </c>
      <c r="AE32" s="31">
        <f t="shared" si="29"/>
        <v>2.458368093285888</v>
      </c>
      <c r="AF32" s="31">
        <f t="shared" si="10"/>
        <v>180</v>
      </c>
      <c r="AG32" s="31">
        <f t="shared" si="30"/>
        <v>176.29950308984644</v>
      </c>
      <c r="AH32" s="31">
        <f t="shared" si="31"/>
        <v>176.29950308984644</v>
      </c>
      <c r="AI32" s="31">
        <f t="shared" si="32"/>
        <v>176</v>
      </c>
      <c r="AJ32" s="32"/>
      <c r="AK32" s="31">
        <f t="shared" si="33"/>
        <v>15647.783334254938</v>
      </c>
      <c r="AL32" s="31">
        <f t="shared" si="11"/>
        <v>15648</v>
      </c>
      <c r="AM32" s="32"/>
      <c r="AN32" s="32"/>
      <c r="AO32" s="31">
        <f t="shared" si="12"/>
        <v>-1.5707957651346172</v>
      </c>
      <c r="AP32" s="31">
        <f t="shared" si="13"/>
        <v>0.8875723293272222</v>
      </c>
      <c r="AQ32" s="31">
        <f t="shared" si="14"/>
        <v>3.2063141335548737</v>
      </c>
      <c r="AR32" s="31">
        <f t="shared" si="15"/>
        <v>-0.775541807873443</v>
      </c>
      <c r="AS32" s="31">
        <f t="shared" si="16"/>
        <v>-0.6832234369833462</v>
      </c>
      <c r="AT32" s="31">
        <f t="shared" si="17"/>
        <v>2.458368093285888</v>
      </c>
      <c r="AU32" s="31">
        <f t="shared" si="18"/>
        <v>0</v>
      </c>
      <c r="AV32" s="31">
        <f t="shared" si="19"/>
        <v>-2.8876936966071298E-05</v>
      </c>
      <c r="AW32" s="31">
        <f t="shared" si="20"/>
        <v>179.99997112306303</v>
      </c>
      <c r="AX32" s="31">
        <f t="shared" si="21"/>
        <v>179</v>
      </c>
    </row>
    <row r="33" spans="1:50" s="2" customFormat="1" ht="17.25" customHeight="1">
      <c r="A33" s="37"/>
      <c r="B33" s="37"/>
      <c r="C33" s="41"/>
      <c r="D33" s="78"/>
      <c r="E33" s="79"/>
      <c r="F33" s="81"/>
      <c r="G33" s="87"/>
      <c r="H33" s="90"/>
      <c r="I33" s="91"/>
      <c r="J33" s="37"/>
      <c r="K33" s="42"/>
      <c r="L33" s="29"/>
      <c r="M33" s="62"/>
      <c r="N33" s="44"/>
      <c r="O33" s="57"/>
      <c r="P33" s="67"/>
      <c r="Q33" s="71">
        <f t="shared" si="3"/>
      </c>
      <c r="R33" s="31">
        <f t="shared" si="4"/>
        <v>0</v>
      </c>
      <c r="S33" s="31">
        <f t="shared" si="5"/>
        <v>0</v>
      </c>
      <c r="T33" s="31">
        <f t="shared" si="6"/>
        <v>0</v>
      </c>
      <c r="U33" s="31">
        <f t="shared" si="22"/>
        <v>-90</v>
      </c>
      <c r="V33" s="31">
        <f t="shared" si="7"/>
        <v>0</v>
      </c>
      <c r="W33" s="31">
        <f t="shared" si="8"/>
        <v>0</v>
      </c>
      <c r="X33" s="31">
        <f t="shared" si="9"/>
        <v>0</v>
      </c>
      <c r="Y33" s="31">
        <f t="shared" si="23"/>
        <v>-90</v>
      </c>
      <c r="Z33" s="31">
        <f t="shared" si="24"/>
        <v>0.8875723293272222</v>
      </c>
      <c r="AA33" s="31">
        <f t="shared" si="25"/>
        <v>-1.5707957651346172</v>
      </c>
      <c r="AB33" s="31">
        <f t="shared" si="26"/>
        <v>-3.2063141335548737</v>
      </c>
      <c r="AC33" s="31">
        <f t="shared" si="27"/>
        <v>-0.775541807873443</v>
      </c>
      <c r="AD33" s="31">
        <f t="shared" si="28"/>
        <v>-0.6832234369833462</v>
      </c>
      <c r="AE33" s="31">
        <f t="shared" si="29"/>
        <v>2.458368093285888</v>
      </c>
      <c r="AF33" s="31">
        <f t="shared" si="10"/>
        <v>180</v>
      </c>
      <c r="AG33" s="31">
        <f t="shared" si="30"/>
        <v>176.29950308984644</v>
      </c>
      <c r="AH33" s="31">
        <f t="shared" si="31"/>
        <v>176.29950308984644</v>
      </c>
      <c r="AI33" s="31">
        <f t="shared" si="32"/>
        <v>176</v>
      </c>
      <c r="AJ33" s="32"/>
      <c r="AK33" s="31">
        <f t="shared" si="33"/>
        <v>15647.783334254938</v>
      </c>
      <c r="AL33" s="31">
        <f t="shared" si="11"/>
        <v>15648</v>
      </c>
      <c r="AM33" s="32"/>
      <c r="AN33" s="32"/>
      <c r="AO33" s="31">
        <f t="shared" si="12"/>
        <v>-1.5707957651346172</v>
      </c>
      <c r="AP33" s="31">
        <f t="shared" si="13"/>
        <v>0.8875723293272222</v>
      </c>
      <c r="AQ33" s="31">
        <f t="shared" si="14"/>
        <v>3.2063141335548737</v>
      </c>
      <c r="AR33" s="31">
        <f t="shared" si="15"/>
        <v>-0.775541807873443</v>
      </c>
      <c r="AS33" s="31">
        <f t="shared" si="16"/>
        <v>-0.6832234369833462</v>
      </c>
      <c r="AT33" s="31">
        <f t="shared" si="17"/>
        <v>2.458368093285888</v>
      </c>
      <c r="AU33" s="31">
        <f t="shared" si="18"/>
        <v>0</v>
      </c>
      <c r="AV33" s="31">
        <f t="shared" si="19"/>
        <v>-2.8876936966071298E-05</v>
      </c>
      <c r="AW33" s="31">
        <f t="shared" si="20"/>
        <v>179.99997112306303</v>
      </c>
      <c r="AX33" s="31">
        <f t="shared" si="21"/>
        <v>179</v>
      </c>
    </row>
    <row r="34" spans="1:50" s="2" customFormat="1" ht="17.25" customHeight="1">
      <c r="A34" s="37"/>
      <c r="B34" s="37"/>
      <c r="C34" s="37"/>
      <c r="D34" s="78"/>
      <c r="E34" s="79"/>
      <c r="F34" s="81"/>
      <c r="G34" s="87"/>
      <c r="H34" s="90"/>
      <c r="I34" s="91"/>
      <c r="J34" s="37"/>
      <c r="K34" s="42"/>
      <c r="L34" s="29"/>
      <c r="M34" s="62"/>
      <c r="N34" s="44"/>
      <c r="O34" s="57"/>
      <c r="P34" s="67"/>
      <c r="Q34" s="71">
        <f t="shared" si="3"/>
      </c>
      <c r="R34" s="31">
        <f t="shared" si="4"/>
        <v>0</v>
      </c>
      <c r="S34" s="31">
        <f t="shared" si="5"/>
        <v>0</v>
      </c>
      <c r="T34" s="31">
        <f t="shared" si="6"/>
        <v>0</v>
      </c>
      <c r="U34" s="31">
        <f t="shared" si="22"/>
        <v>-90</v>
      </c>
      <c r="V34" s="31">
        <f t="shared" si="7"/>
        <v>0</v>
      </c>
      <c r="W34" s="31">
        <f t="shared" si="8"/>
        <v>0</v>
      </c>
      <c r="X34" s="31">
        <f t="shared" si="9"/>
        <v>0</v>
      </c>
      <c r="Y34" s="31">
        <f t="shared" si="23"/>
        <v>-90</v>
      </c>
      <c r="Z34" s="31">
        <f t="shared" si="24"/>
        <v>0.8875723293272222</v>
      </c>
      <c r="AA34" s="31">
        <f t="shared" si="25"/>
        <v>-1.5707957651346172</v>
      </c>
      <c r="AB34" s="31">
        <f t="shared" si="26"/>
        <v>-3.2063141335548737</v>
      </c>
      <c r="AC34" s="31">
        <f t="shared" si="27"/>
        <v>-0.775541807873443</v>
      </c>
      <c r="AD34" s="31">
        <f t="shared" si="28"/>
        <v>-0.6832234369833462</v>
      </c>
      <c r="AE34" s="31">
        <f t="shared" si="29"/>
        <v>2.458368093285888</v>
      </c>
      <c r="AF34" s="31">
        <f t="shared" si="10"/>
        <v>180</v>
      </c>
      <c r="AG34" s="31">
        <f t="shared" si="30"/>
        <v>176.29950308984644</v>
      </c>
      <c r="AH34" s="31">
        <f t="shared" si="31"/>
        <v>176.29950308984644</v>
      </c>
      <c r="AI34" s="31">
        <f t="shared" si="32"/>
        <v>176</v>
      </c>
      <c r="AJ34" s="32"/>
      <c r="AK34" s="31">
        <f t="shared" si="33"/>
        <v>15647.783334254938</v>
      </c>
      <c r="AL34" s="31">
        <f t="shared" si="11"/>
        <v>15648</v>
      </c>
      <c r="AM34" s="32"/>
      <c r="AN34" s="32"/>
      <c r="AO34" s="31">
        <f t="shared" si="12"/>
        <v>-1.5707957651346172</v>
      </c>
      <c r="AP34" s="31">
        <f t="shared" si="13"/>
        <v>0.8875723293272222</v>
      </c>
      <c r="AQ34" s="31">
        <f t="shared" si="14"/>
        <v>3.2063141335548737</v>
      </c>
      <c r="AR34" s="31">
        <f t="shared" si="15"/>
        <v>-0.775541807873443</v>
      </c>
      <c r="AS34" s="31">
        <f t="shared" si="16"/>
        <v>-0.6832234369833462</v>
      </c>
      <c r="AT34" s="31">
        <f t="shared" si="17"/>
        <v>2.458368093285888</v>
      </c>
      <c r="AU34" s="31">
        <f t="shared" si="18"/>
        <v>0</v>
      </c>
      <c r="AV34" s="31">
        <f t="shared" si="19"/>
        <v>-2.8876936966071298E-05</v>
      </c>
      <c r="AW34" s="31">
        <f t="shared" si="20"/>
        <v>179.99997112306303</v>
      </c>
      <c r="AX34" s="31">
        <f t="shared" si="21"/>
        <v>179</v>
      </c>
    </row>
    <row r="35" spans="1:50" s="2" customFormat="1" ht="16.5" customHeight="1" thickBot="1">
      <c r="A35" s="37"/>
      <c r="B35" s="37"/>
      <c r="C35" s="37"/>
      <c r="D35" s="78" t="s">
        <v>25</v>
      </c>
      <c r="E35" s="79"/>
      <c r="F35" s="81"/>
      <c r="G35" s="87"/>
      <c r="H35" s="90"/>
      <c r="I35" s="91"/>
      <c r="J35" s="37"/>
      <c r="K35" s="42"/>
      <c r="L35" s="30"/>
      <c r="M35" s="63"/>
      <c r="N35" s="44"/>
      <c r="O35" s="57"/>
      <c r="P35" s="67"/>
      <c r="Q35" s="71"/>
      <c r="R35" s="31">
        <f t="shared" si="4"/>
        <v>0</v>
      </c>
      <c r="S35" s="31">
        <f t="shared" si="5"/>
        <v>0</v>
      </c>
      <c r="T35" s="31">
        <f t="shared" si="6"/>
        <v>0</v>
      </c>
      <c r="U35" s="31">
        <f t="shared" si="22"/>
        <v>-90</v>
      </c>
      <c r="V35" s="31">
        <f t="shared" si="7"/>
        <v>0</v>
      </c>
      <c r="W35" s="31">
        <f t="shared" si="8"/>
        <v>0</v>
      </c>
      <c r="X35" s="31">
        <f t="shared" si="9"/>
        <v>0</v>
      </c>
      <c r="Y35" s="31">
        <f t="shared" si="23"/>
        <v>-90</v>
      </c>
      <c r="Z35" s="31">
        <f t="shared" si="24"/>
        <v>0.8875723293272222</v>
      </c>
      <c r="AA35" s="31">
        <f t="shared" si="25"/>
        <v>-1.5707957651346172</v>
      </c>
      <c r="AB35" s="31">
        <f t="shared" si="26"/>
        <v>-3.2063141335548737</v>
      </c>
      <c r="AC35" s="31">
        <f t="shared" si="27"/>
        <v>-0.775541807873443</v>
      </c>
      <c r="AD35" s="31">
        <f t="shared" si="28"/>
        <v>-0.6832234369833462</v>
      </c>
      <c r="AE35" s="31">
        <f t="shared" si="29"/>
        <v>2.458368093285888</v>
      </c>
      <c r="AF35" s="31">
        <f t="shared" si="10"/>
        <v>180</v>
      </c>
      <c r="AG35" s="31">
        <f t="shared" si="30"/>
        <v>176.29950308984644</v>
      </c>
      <c r="AH35" s="31">
        <f t="shared" si="31"/>
        <v>176.29950308984644</v>
      </c>
      <c r="AI35" s="31">
        <f t="shared" si="32"/>
        <v>176</v>
      </c>
      <c r="AJ35" s="32"/>
      <c r="AK35" s="31">
        <f t="shared" si="33"/>
        <v>15647.783334254938</v>
      </c>
      <c r="AL35" s="31">
        <f t="shared" si="11"/>
        <v>15648</v>
      </c>
      <c r="AM35" s="32"/>
      <c r="AN35" s="32"/>
      <c r="AO35" s="31">
        <f t="shared" si="12"/>
        <v>-1.5707957651346172</v>
      </c>
      <c r="AP35" s="31">
        <f t="shared" si="13"/>
        <v>0.8875723293272222</v>
      </c>
      <c r="AQ35" s="31">
        <f t="shared" si="14"/>
        <v>3.2063141335548737</v>
      </c>
      <c r="AR35" s="31">
        <f t="shared" si="15"/>
        <v>-0.775541807873443</v>
      </c>
      <c r="AS35" s="31">
        <f t="shared" si="16"/>
        <v>-0.6832234369833462</v>
      </c>
      <c r="AT35" s="31">
        <f t="shared" si="17"/>
        <v>2.458368093285888</v>
      </c>
      <c r="AU35" s="31">
        <f t="shared" si="18"/>
        <v>0</v>
      </c>
      <c r="AV35" s="31">
        <f t="shared" si="19"/>
        <v>-2.8876936966071298E-05</v>
      </c>
      <c r="AW35" s="31">
        <f t="shared" si="20"/>
        <v>179.99997112306303</v>
      </c>
      <c r="AX35" s="31">
        <f t="shared" si="21"/>
        <v>179</v>
      </c>
    </row>
    <row r="36" spans="1:50" s="2" customFormat="1" ht="18" customHeight="1" thickBo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48" t="s">
        <v>21</v>
      </c>
      <c r="M36" s="28"/>
      <c r="N36" s="72">
        <f>SUM(N11:N35)</f>
        <v>4054</v>
      </c>
      <c r="O36" s="5"/>
      <c r="P36" s="33"/>
      <c r="Q36" s="33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</row>
    <row r="37" spans="1:17" s="2" customFormat="1" ht="15">
      <c r="A37" s="5"/>
      <c r="B37" s="5"/>
      <c r="C37" s="5"/>
      <c r="D37" s="5"/>
      <c r="E37" s="5"/>
      <c r="F37" s="5"/>
      <c r="G37"/>
      <c r="H37"/>
      <c r="I37" s="5"/>
      <c r="J37" s="5"/>
      <c r="K37" s="5"/>
      <c r="L37"/>
      <c r="M37" s="5"/>
      <c r="N37" s="5"/>
      <c r="O37" s="5"/>
      <c r="P37" s="5"/>
      <c r="Q37" s="5"/>
    </row>
    <row r="38" ht="12.75">
      <c r="Q38" s="2"/>
    </row>
  </sheetData>
  <sheetProtection/>
  <mergeCells count="7">
    <mergeCell ref="G10:I10"/>
    <mergeCell ref="D10:F10"/>
    <mergeCell ref="A1:Q1"/>
    <mergeCell ref="C5:H5"/>
    <mergeCell ref="C7:D7"/>
    <mergeCell ref="J7:K7"/>
    <mergeCell ref="G3:I3"/>
  </mergeCells>
  <printOptions/>
  <pageMargins left="0.5511811023622047" right="0.5511811023622047" top="0.1968503937007874" bottom="0.1968503937007874" header="0.5118110236220472" footer="0.5118110236220472"/>
  <pageSetup fitToHeight="1" fitToWidth="1"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bart</cp:lastModifiedBy>
  <cp:lastPrinted>2003-06-18T04:22:17Z</cp:lastPrinted>
  <dcterms:created xsi:type="dcterms:W3CDTF">2000-08-15T18:17:43Z</dcterms:created>
  <dcterms:modified xsi:type="dcterms:W3CDTF">2004-06-13T11:46:43Z</dcterms:modified>
  <cp:category/>
  <cp:version/>
  <cp:contentType/>
  <cp:contentStatus/>
</cp:coreProperties>
</file>